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250" windowHeight="5775"/>
  </bookViews>
  <sheets>
    <sheet name="Studia stacjonarne" sheetId="1" r:id="rId1"/>
    <sheet name="Efekty uczenia się" sheetId="4" r:id="rId2"/>
    <sheet name="Macierz efektów uczenia się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O22" i="1"/>
  <c r="AS72" i="5"/>
  <c r="AS71" i="5"/>
  <c r="AS59" i="5"/>
  <c r="AS58" i="5"/>
  <c r="AS57" i="5"/>
  <c r="AS56" i="5"/>
  <c r="AS55" i="5"/>
  <c r="AS54" i="5"/>
  <c r="AS53" i="5"/>
  <c r="AS52" i="5"/>
  <c r="AS50" i="5"/>
  <c r="AS49" i="5"/>
  <c r="AS48" i="5"/>
  <c r="AS47" i="5"/>
  <c r="AS46" i="5"/>
  <c r="AS45" i="5"/>
  <c r="AS44" i="5"/>
  <c r="AS43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0" i="5"/>
  <c r="AS19" i="5"/>
  <c r="AS18" i="5"/>
  <c r="AS17" i="5"/>
  <c r="AS16" i="5"/>
  <c r="AS15" i="5"/>
  <c r="AS14" i="5"/>
  <c r="AS13" i="5"/>
  <c r="AS12" i="5"/>
  <c r="AS10" i="5"/>
  <c r="AS9" i="5"/>
  <c r="AS8" i="5"/>
  <c r="AS7" i="5"/>
  <c r="AS6" i="5"/>
  <c r="AS5" i="5"/>
  <c r="AS4" i="5"/>
  <c r="C72" i="5"/>
  <c r="C71" i="5"/>
  <c r="C59" i="5"/>
  <c r="C58" i="5"/>
  <c r="C57" i="5"/>
  <c r="C56" i="5"/>
  <c r="C55" i="5"/>
  <c r="C54" i="5"/>
  <c r="C53" i="5"/>
  <c r="C52" i="5"/>
  <c r="C50" i="5"/>
  <c r="C49" i="5"/>
  <c r="C48" i="5"/>
  <c r="C47" i="5"/>
  <c r="C46" i="5"/>
  <c r="C45" i="5"/>
  <c r="C44" i="5"/>
  <c r="C43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0" i="5"/>
  <c r="C19" i="5"/>
  <c r="C18" i="5"/>
  <c r="C17" i="5"/>
  <c r="C16" i="5"/>
  <c r="C15" i="5"/>
  <c r="C14" i="5"/>
  <c r="C13" i="5"/>
  <c r="C12" i="5"/>
  <c r="C10" i="5"/>
  <c r="C9" i="5"/>
  <c r="C8" i="5"/>
  <c r="C7" i="5"/>
  <c r="C6" i="5"/>
  <c r="C5" i="5"/>
  <c r="C4" i="5"/>
  <c r="T72" i="5"/>
  <c r="T71" i="5"/>
  <c r="T59" i="5"/>
  <c r="T58" i="5"/>
  <c r="T57" i="5"/>
  <c r="T56" i="5"/>
  <c r="T55" i="5"/>
  <c r="T54" i="5"/>
  <c r="T53" i="5"/>
  <c r="T52" i="5"/>
  <c r="T50" i="5"/>
  <c r="T49" i="5"/>
  <c r="T48" i="5"/>
  <c r="T47" i="5"/>
  <c r="T46" i="5"/>
  <c r="T45" i="5"/>
  <c r="T44" i="5"/>
  <c r="T43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0" i="5"/>
  <c r="T19" i="5"/>
  <c r="T18" i="5"/>
  <c r="T17" i="5"/>
  <c r="T16" i="5"/>
  <c r="T15" i="5"/>
  <c r="T14" i="5"/>
  <c r="T13" i="5"/>
  <c r="T12" i="5"/>
  <c r="T10" i="5"/>
  <c r="T9" i="5"/>
  <c r="T8" i="5"/>
  <c r="T7" i="5"/>
  <c r="T6" i="5"/>
  <c r="T5" i="5"/>
  <c r="T4" i="5"/>
  <c r="AY3" i="5"/>
  <c r="AX3" i="5"/>
  <c r="AW3" i="5"/>
  <c r="AV3" i="5"/>
  <c r="AU3" i="5"/>
  <c r="AT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1" i="5" l="1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3" i="5"/>
  <c r="B3" i="5"/>
  <c r="A4" i="5"/>
  <c r="B4" i="5"/>
  <c r="A5" i="5"/>
  <c r="B5" i="5"/>
  <c r="A6" i="5"/>
  <c r="B6" i="5"/>
  <c r="A7" i="5"/>
  <c r="B7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U62" i="1" l="1"/>
  <c r="U53" i="1"/>
  <c r="U22" i="1"/>
  <c r="U14" i="1"/>
  <c r="N43" i="1" l="1"/>
  <c r="M43" i="1"/>
  <c r="L43" i="1"/>
  <c r="N45" i="1"/>
  <c r="N52" i="1"/>
  <c r="M52" i="1"/>
  <c r="N46" i="1"/>
  <c r="M46" i="1"/>
  <c r="K21" i="1" l="1"/>
  <c r="K20" i="1"/>
  <c r="K19" i="1"/>
  <c r="K18" i="1"/>
  <c r="K17" i="1"/>
  <c r="K15" i="1"/>
  <c r="K16" i="1"/>
  <c r="K31" i="1"/>
  <c r="K30" i="1"/>
  <c r="K29" i="1"/>
  <c r="K28" i="1"/>
  <c r="K27" i="1"/>
  <c r="K26" i="1"/>
  <c r="K25" i="1"/>
  <c r="K23" i="1"/>
  <c r="K24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2" i="1"/>
  <c r="K51" i="1"/>
  <c r="K54" i="1"/>
  <c r="K55" i="1"/>
  <c r="K56" i="1"/>
  <c r="K57" i="1"/>
  <c r="K58" i="1"/>
  <c r="K59" i="1"/>
  <c r="K61" i="1"/>
  <c r="K60" i="1"/>
  <c r="K63" i="1"/>
  <c r="K64" i="1"/>
  <c r="K65" i="1"/>
  <c r="K66" i="1"/>
  <c r="K67" i="1"/>
  <c r="K68" i="1"/>
  <c r="K69" i="1"/>
  <c r="K70" i="1"/>
  <c r="K73" i="1"/>
  <c r="K71" i="1"/>
  <c r="V77" i="1" l="1"/>
  <c r="V75" i="1"/>
  <c r="O49" i="1" l="1"/>
  <c r="N48" i="1"/>
  <c r="O48" i="1"/>
  <c r="L48" i="1" l="1"/>
  <c r="M48" i="1"/>
  <c r="L49" i="1"/>
  <c r="N49" i="1"/>
  <c r="AS49" i="1"/>
  <c r="AS48" i="1"/>
  <c r="M49" i="1"/>
  <c r="V76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AQ62" i="1"/>
  <c r="AP62" i="1"/>
  <c r="AN62" i="1"/>
  <c r="AO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AN53" i="1"/>
  <c r="AP53" i="1"/>
  <c r="AQ53" i="1"/>
  <c r="AO53" i="1"/>
  <c r="AM53" i="1"/>
  <c r="AL53" i="1"/>
  <c r="AK53" i="1"/>
  <c r="AJ53" i="1"/>
  <c r="AI53" i="1"/>
  <c r="AH53" i="1"/>
  <c r="AG53" i="1"/>
  <c r="AE53" i="1"/>
  <c r="AF53" i="1"/>
  <c r="AD53" i="1"/>
  <c r="AC53" i="1"/>
  <c r="AB53" i="1"/>
  <c r="AA53" i="1"/>
  <c r="Z53" i="1"/>
  <c r="Y53" i="1"/>
  <c r="X53" i="1"/>
  <c r="W53" i="1"/>
  <c r="AP32" i="1"/>
  <c r="AQ32" i="1"/>
  <c r="AO32" i="1"/>
  <c r="AN32" i="1"/>
  <c r="AM32" i="1"/>
  <c r="AL32" i="1"/>
  <c r="AK32" i="1"/>
  <c r="AJ32" i="1"/>
  <c r="AI32" i="1"/>
  <c r="AH32" i="1"/>
  <c r="AG32" i="1"/>
  <c r="AE32" i="1"/>
  <c r="AF32" i="1"/>
  <c r="AD32" i="1"/>
  <c r="AC32" i="1"/>
  <c r="AB32" i="1"/>
  <c r="AA32" i="1"/>
  <c r="Z32" i="1"/>
  <c r="Y32" i="1"/>
  <c r="X32" i="1"/>
  <c r="W3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AS74" i="1"/>
  <c r="P49" i="1" l="1"/>
  <c r="AT49" i="1" s="1"/>
  <c r="W77" i="1"/>
  <c r="X77" i="1"/>
  <c r="Y77" i="1"/>
  <c r="P48" i="1"/>
  <c r="U49" i="1"/>
  <c r="AU49" i="1" s="1"/>
  <c r="AL76" i="1"/>
  <c r="AO76" i="1"/>
  <c r="AF75" i="1"/>
  <c r="AC76" i="1"/>
  <c r="Z76" i="1"/>
  <c r="AL75" i="1"/>
  <c r="AI76" i="1"/>
  <c r="AJ76" i="1"/>
  <c r="AK76" i="1"/>
  <c r="W76" i="1"/>
  <c r="AD75" i="1"/>
  <c r="AB76" i="1"/>
  <c r="AN75" i="1"/>
  <c r="AM76" i="1"/>
  <c r="AQ76" i="1"/>
  <c r="AP76" i="1"/>
  <c r="AE76" i="1"/>
  <c r="AH76" i="1"/>
  <c r="AG76" i="1"/>
  <c r="AD76" i="1"/>
  <c r="Y76" i="1"/>
  <c r="AA76" i="1"/>
  <c r="X76" i="1"/>
  <c r="AJ75" i="1"/>
  <c r="Y75" i="1"/>
  <c r="AC75" i="1"/>
  <c r="AG75" i="1"/>
  <c r="AK75" i="1"/>
  <c r="AO75" i="1"/>
  <c r="AB75" i="1"/>
  <c r="AN76" i="1"/>
  <c r="X75" i="1"/>
  <c r="AF76" i="1"/>
  <c r="Z75" i="1"/>
  <c r="AH75" i="1"/>
  <c r="AP75" i="1"/>
  <c r="W75" i="1"/>
  <c r="AA75" i="1"/>
  <c r="AE75" i="1"/>
  <c r="AI75" i="1"/>
  <c r="AM75" i="1"/>
  <c r="AQ75" i="1"/>
  <c r="T49" i="1" l="1"/>
  <c r="AT48" i="1"/>
  <c r="T48" i="1"/>
  <c r="U48" i="1"/>
  <c r="AU48" i="1" s="1"/>
  <c r="Q49" i="1"/>
  <c r="R49" i="1" s="1"/>
  <c r="S49" i="1"/>
  <c r="E62" i="1"/>
  <c r="O69" i="1"/>
  <c r="O64" i="1"/>
  <c r="N70" i="1"/>
  <c r="N65" i="1"/>
  <c r="N63" i="1"/>
  <c r="I62" i="1"/>
  <c r="H62" i="1"/>
  <c r="G62" i="1"/>
  <c r="F62" i="1"/>
  <c r="N51" i="1"/>
  <c r="O51" i="1"/>
  <c r="O71" i="1"/>
  <c r="N61" i="1"/>
  <c r="N60" i="1"/>
  <c r="O61" i="1"/>
  <c r="O60" i="1"/>
  <c r="O54" i="1"/>
  <c r="I53" i="1"/>
  <c r="H53" i="1"/>
  <c r="G53" i="1"/>
  <c r="F53" i="1"/>
  <c r="E53" i="1"/>
  <c r="N34" i="1"/>
  <c r="O34" i="1"/>
  <c r="N47" i="1"/>
  <c r="O47" i="1"/>
  <c r="O74" i="1"/>
  <c r="O73" i="1"/>
  <c r="O46" i="1"/>
  <c r="O44" i="1"/>
  <c r="O40" i="1"/>
  <c r="O39" i="1"/>
  <c r="O33" i="1"/>
  <c r="O31" i="1"/>
  <c r="O30" i="1"/>
  <c r="O29" i="1"/>
  <c r="O28" i="1"/>
  <c r="O26" i="1"/>
  <c r="O25" i="1"/>
  <c r="O21" i="1"/>
  <c r="O20" i="1"/>
  <c r="O19" i="1"/>
  <c r="O18" i="1"/>
  <c r="O17" i="1"/>
  <c r="O16" i="1"/>
  <c r="I72" i="1"/>
  <c r="H72" i="1"/>
  <c r="G72" i="1"/>
  <c r="F72" i="1"/>
  <c r="E72" i="1"/>
  <c r="I32" i="1"/>
  <c r="H32" i="1"/>
  <c r="G32" i="1"/>
  <c r="F32" i="1"/>
  <c r="E32" i="1"/>
  <c r="N50" i="1"/>
  <c r="N44" i="1"/>
  <c r="N42" i="1"/>
  <c r="N41" i="1"/>
  <c r="N40" i="1"/>
  <c r="N38" i="1"/>
  <c r="N37" i="1"/>
  <c r="N36" i="1"/>
  <c r="N35" i="1"/>
  <c r="N30" i="1"/>
  <c r="N29" i="1"/>
  <c r="N28" i="1"/>
  <c r="N27" i="1"/>
  <c r="N26" i="1"/>
  <c r="N24" i="1"/>
  <c r="N23" i="1"/>
  <c r="I22" i="1"/>
  <c r="H22" i="1"/>
  <c r="G22" i="1"/>
  <c r="F22" i="1"/>
  <c r="E22" i="1"/>
  <c r="N20" i="1"/>
  <c r="N19" i="1"/>
  <c r="N18" i="1"/>
  <c r="N16" i="1"/>
  <c r="N15" i="1"/>
  <c r="I14" i="1"/>
  <c r="H14" i="1"/>
  <c r="G14" i="1"/>
  <c r="F14" i="1"/>
  <c r="E14" i="1"/>
  <c r="M21" i="1" l="1"/>
  <c r="N21" i="1"/>
  <c r="N54" i="1"/>
  <c r="M54" i="1"/>
  <c r="M55" i="1"/>
  <c r="N55" i="1"/>
  <c r="O55" i="1"/>
  <c r="O56" i="1"/>
  <c r="N56" i="1"/>
  <c r="M56" i="1"/>
  <c r="N66" i="1"/>
  <c r="M66" i="1"/>
  <c r="M64" i="1"/>
  <c r="N64" i="1"/>
  <c r="O58" i="1"/>
  <c r="N58" i="1"/>
  <c r="M58" i="1"/>
  <c r="N67" i="1"/>
  <c r="M67" i="1"/>
  <c r="AS17" i="1"/>
  <c r="N17" i="1"/>
  <c r="M59" i="1"/>
  <c r="N59" i="1"/>
  <c r="M68" i="1"/>
  <c r="N68" i="1"/>
  <c r="M69" i="1"/>
  <c r="N69" i="1"/>
  <c r="M61" i="1"/>
  <c r="N39" i="1"/>
  <c r="M39" i="1"/>
  <c r="M41" i="1"/>
  <c r="G77" i="1"/>
  <c r="M60" i="1"/>
  <c r="M70" i="1"/>
  <c r="AS31" i="1"/>
  <c r="N31" i="1"/>
  <c r="M42" i="1"/>
  <c r="E77" i="1"/>
  <c r="H77" i="1"/>
  <c r="I77" i="1"/>
  <c r="AS25" i="1"/>
  <c r="N25" i="1"/>
  <c r="M33" i="1"/>
  <c r="N33" i="1"/>
  <c r="AS39" i="1"/>
  <c r="L39" i="1"/>
  <c r="O50" i="1"/>
  <c r="AS40" i="1"/>
  <c r="F77" i="1"/>
  <c r="E76" i="1"/>
  <c r="Q48" i="1"/>
  <c r="R48" i="1" s="1"/>
  <c r="S48" i="1"/>
  <c r="M27" i="1"/>
  <c r="N57" i="1"/>
  <c r="M57" i="1"/>
  <c r="L57" i="1"/>
  <c r="L66" i="1"/>
  <c r="M65" i="1"/>
  <c r="L65" i="1"/>
  <c r="L58" i="1"/>
  <c r="O67" i="1"/>
  <c r="L67" i="1"/>
  <c r="AS64" i="1"/>
  <c r="L64" i="1"/>
  <c r="O42" i="1"/>
  <c r="L42" i="1"/>
  <c r="O57" i="1"/>
  <c r="AS59" i="1"/>
  <c r="L59" i="1"/>
  <c r="L68" i="1"/>
  <c r="L55" i="1"/>
  <c r="L60" i="1"/>
  <c r="L69" i="1"/>
  <c r="L56" i="1"/>
  <c r="M23" i="1"/>
  <c r="O36" i="1"/>
  <c r="L36" i="1"/>
  <c r="L61" i="1"/>
  <c r="L70" i="1"/>
  <c r="AS21" i="1"/>
  <c r="L21" i="1"/>
  <c r="L26" i="1"/>
  <c r="M26" i="1"/>
  <c r="M37" i="1"/>
  <c r="L54" i="1"/>
  <c r="M63" i="1"/>
  <c r="L63" i="1"/>
  <c r="M18" i="1"/>
  <c r="O65" i="1"/>
  <c r="AS42" i="1"/>
  <c r="AS23" i="1"/>
  <c r="AS38" i="1"/>
  <c r="O38" i="1"/>
  <c r="M38" i="1"/>
  <c r="AS46" i="1"/>
  <c r="L46" i="1"/>
  <c r="O70" i="1"/>
  <c r="M36" i="1"/>
  <c r="M35" i="1"/>
  <c r="M20" i="1"/>
  <c r="AS20" i="1"/>
  <c r="L35" i="1"/>
  <c r="AS35" i="1"/>
  <c r="I76" i="1"/>
  <c r="I75" i="1"/>
  <c r="AS56" i="1"/>
  <c r="AS71" i="1"/>
  <c r="L18" i="1"/>
  <c r="AS18" i="1"/>
  <c r="L29" i="1"/>
  <c r="AS29" i="1"/>
  <c r="AS52" i="1"/>
  <c r="F76" i="1"/>
  <c r="F75" i="1"/>
  <c r="AS61" i="1"/>
  <c r="AS69" i="1"/>
  <c r="L19" i="1"/>
  <c r="AS19" i="1"/>
  <c r="M30" i="1"/>
  <c r="AS30" i="1"/>
  <c r="AS41" i="1"/>
  <c r="AS33" i="1"/>
  <c r="G76" i="1"/>
  <c r="G75" i="1"/>
  <c r="AS54" i="1"/>
  <c r="AS70" i="1"/>
  <c r="H76" i="1"/>
  <c r="H75" i="1"/>
  <c r="AS55" i="1"/>
  <c r="AS63" i="1"/>
  <c r="O63" i="1"/>
  <c r="M73" i="1"/>
  <c r="AS73" i="1"/>
  <c r="AS65" i="1"/>
  <c r="AS15" i="1"/>
  <c r="AS26" i="1"/>
  <c r="AS37" i="1"/>
  <c r="M45" i="1"/>
  <c r="AS45" i="1"/>
  <c r="AS58" i="1"/>
  <c r="L51" i="1"/>
  <c r="AS51" i="1"/>
  <c r="O66" i="1"/>
  <c r="AS66" i="1"/>
  <c r="AS43" i="1"/>
  <c r="AS36" i="1"/>
  <c r="L47" i="1"/>
  <c r="AS47" i="1"/>
  <c r="AS57" i="1"/>
  <c r="L34" i="1"/>
  <c r="AS34" i="1"/>
  <c r="AS67" i="1"/>
  <c r="O24" i="1"/>
  <c r="AS24" i="1"/>
  <c r="L44" i="1"/>
  <c r="AS44" i="1"/>
  <c r="M16" i="1"/>
  <c r="AS16" i="1"/>
  <c r="O27" i="1"/>
  <c r="AS27" i="1"/>
  <c r="L28" i="1"/>
  <c r="AS28" i="1"/>
  <c r="AS50" i="1"/>
  <c r="E75" i="1"/>
  <c r="AS60" i="1"/>
  <c r="AS68" i="1"/>
  <c r="P74" i="1"/>
  <c r="U74" i="1" s="1"/>
  <c r="S74" i="1" s="1"/>
  <c r="O68" i="1"/>
  <c r="K62" i="1"/>
  <c r="M51" i="1"/>
  <c r="O72" i="1"/>
  <c r="L24" i="1"/>
  <c r="L33" i="1"/>
  <c r="O15" i="1"/>
  <c r="O35" i="1"/>
  <c r="O43" i="1"/>
  <c r="L38" i="1"/>
  <c r="K72" i="1"/>
  <c r="L30" i="1"/>
  <c r="L40" i="1"/>
  <c r="L45" i="1"/>
  <c r="N73" i="1"/>
  <c r="N72" i="1" s="1"/>
  <c r="M17" i="1"/>
  <c r="M34" i="1"/>
  <c r="M31" i="1"/>
  <c r="K14" i="1"/>
  <c r="O59" i="1"/>
  <c r="O45" i="1"/>
  <c r="L20" i="1"/>
  <c r="L23" i="1"/>
  <c r="L27" i="1"/>
  <c r="L31" i="1"/>
  <c r="L37" i="1"/>
  <c r="L73" i="1"/>
  <c r="M47" i="1"/>
  <c r="M24" i="1"/>
  <c r="M28" i="1"/>
  <c r="L16" i="1"/>
  <c r="O23" i="1"/>
  <c r="O37" i="1"/>
  <c r="L50" i="1"/>
  <c r="L17" i="1"/>
  <c r="M15" i="1"/>
  <c r="M19" i="1"/>
  <c r="M40" i="1"/>
  <c r="M44" i="1"/>
  <c r="M50" i="1"/>
  <c r="M25" i="1"/>
  <c r="M29" i="1"/>
  <c r="L52" i="1"/>
  <c r="M72" i="1"/>
  <c r="L25" i="1"/>
  <c r="O52" i="1"/>
  <c r="K22" i="1"/>
  <c r="K53" i="1"/>
  <c r="O41" i="1"/>
  <c r="L41" i="1"/>
  <c r="K32" i="1"/>
  <c r="L15" i="1"/>
  <c r="E80" i="1" l="1"/>
  <c r="F80" i="1"/>
  <c r="P73" i="1"/>
  <c r="U73" i="1" s="1"/>
  <c r="K75" i="1"/>
  <c r="K77" i="1"/>
  <c r="P71" i="1"/>
  <c r="P35" i="1"/>
  <c r="P44" i="1"/>
  <c r="T44" i="1" s="1"/>
  <c r="P33" i="1"/>
  <c r="T33" i="1" s="1"/>
  <c r="P60" i="1"/>
  <c r="N53" i="1"/>
  <c r="O53" i="1"/>
  <c r="P69" i="1"/>
  <c r="P64" i="1"/>
  <c r="O62" i="1"/>
  <c r="P70" i="1"/>
  <c r="P16" i="1"/>
  <c r="T16" i="1" s="1"/>
  <c r="P39" i="1"/>
  <c r="P50" i="1"/>
  <c r="T50" i="1" s="1"/>
  <c r="AU74" i="1"/>
  <c r="AT74" i="1"/>
  <c r="K76" i="1"/>
  <c r="P67" i="1"/>
  <c r="N62" i="1"/>
  <c r="P28" i="1"/>
  <c r="P65" i="1"/>
  <c r="Q74" i="1"/>
  <c r="R74" i="1" s="1"/>
  <c r="M62" i="1"/>
  <c r="P30" i="1"/>
  <c r="T30" i="1" s="1"/>
  <c r="P42" i="1"/>
  <c r="P54" i="1"/>
  <c r="P51" i="1"/>
  <c r="T51" i="1" s="1"/>
  <c r="P66" i="1"/>
  <c r="O14" i="1"/>
  <c r="L62" i="1"/>
  <c r="P43" i="1"/>
  <c r="P63" i="1"/>
  <c r="M53" i="1"/>
  <c r="P68" i="1"/>
  <c r="P19" i="1"/>
  <c r="T19" i="1" s="1"/>
  <c r="P17" i="1"/>
  <c r="AT17" i="1" s="1"/>
  <c r="P45" i="1"/>
  <c r="T45" i="1" s="1"/>
  <c r="P27" i="1"/>
  <c r="P36" i="1"/>
  <c r="P52" i="1"/>
  <c r="P58" i="1"/>
  <c r="O32" i="1"/>
  <c r="P24" i="1"/>
  <c r="P47" i="1"/>
  <c r="T47" i="1" s="1"/>
  <c r="P34" i="1"/>
  <c r="T34" i="1" s="1"/>
  <c r="N22" i="1"/>
  <c r="M14" i="1"/>
  <c r="P31" i="1"/>
  <c r="T31" i="1" s="1"/>
  <c r="P40" i="1"/>
  <c r="P23" i="1"/>
  <c r="M22" i="1"/>
  <c r="P21" i="1"/>
  <c r="P56" i="1"/>
  <c r="P20" i="1"/>
  <c r="T20" i="1" s="1"/>
  <c r="P38" i="1"/>
  <c r="P37" i="1"/>
  <c r="P59" i="1"/>
  <c r="P18" i="1"/>
  <c r="P25" i="1"/>
  <c r="T25" i="1" s="1"/>
  <c r="P61" i="1"/>
  <c r="N14" i="1"/>
  <c r="L72" i="1"/>
  <c r="P26" i="1"/>
  <c r="T26" i="1" s="1"/>
  <c r="L32" i="1"/>
  <c r="P29" i="1"/>
  <c r="T29" i="1" s="1"/>
  <c r="L53" i="1"/>
  <c r="P15" i="1"/>
  <c r="L14" i="1"/>
  <c r="L22" i="1"/>
  <c r="P57" i="1"/>
  <c r="T57" i="1" s="1"/>
  <c r="P55" i="1"/>
  <c r="P41" i="1"/>
  <c r="P46" i="1"/>
  <c r="T46" i="1" s="1"/>
  <c r="N32" i="1"/>
  <c r="M32" i="1"/>
  <c r="L77" i="1" l="1"/>
  <c r="U43" i="1"/>
  <c r="S43" i="1" s="1"/>
  <c r="T43" i="1"/>
  <c r="U71" i="1"/>
  <c r="T71" i="1"/>
  <c r="U39" i="1"/>
  <c r="T39" i="1"/>
  <c r="U28" i="1"/>
  <c r="Q28" i="1" s="1"/>
  <c r="R28" i="1" s="1"/>
  <c r="T28" i="1"/>
  <c r="P72" i="1"/>
  <c r="T73" i="1"/>
  <c r="S73" i="1" s="1"/>
  <c r="S72" i="1" s="1"/>
  <c r="AT73" i="1"/>
  <c r="T63" i="1"/>
  <c r="T70" i="1"/>
  <c r="AT69" i="1"/>
  <c r="T69" i="1"/>
  <c r="T68" i="1"/>
  <c r="T67" i="1"/>
  <c r="T66" i="1"/>
  <c r="T65" i="1"/>
  <c r="T64" i="1"/>
  <c r="T61" i="1"/>
  <c r="T60" i="1"/>
  <c r="T59" i="1"/>
  <c r="T58" i="1"/>
  <c r="T56" i="1"/>
  <c r="T55" i="1"/>
  <c r="U54" i="1"/>
  <c r="T54" i="1"/>
  <c r="U52" i="1"/>
  <c r="Q52" i="1" s="1"/>
  <c r="R52" i="1" s="1"/>
  <c r="T52" i="1"/>
  <c r="T42" i="1"/>
  <c r="T41" i="1"/>
  <c r="T40" i="1"/>
  <c r="T38" i="1"/>
  <c r="T37" i="1"/>
  <c r="U36" i="1"/>
  <c r="T36" i="1"/>
  <c r="T35" i="1"/>
  <c r="T23" i="1"/>
  <c r="T27" i="1"/>
  <c r="T24" i="1"/>
  <c r="U15" i="1"/>
  <c r="T15" i="1"/>
  <c r="U21" i="1"/>
  <c r="T21" i="1"/>
  <c r="U18" i="1"/>
  <c r="T18" i="1"/>
  <c r="O77" i="1"/>
  <c r="M77" i="1"/>
  <c r="U40" i="1"/>
  <c r="N77" i="1"/>
  <c r="AT44" i="1"/>
  <c r="U44" i="1"/>
  <c r="AU44" i="1" s="1"/>
  <c r="U35" i="1"/>
  <c r="S35" i="1" s="1"/>
  <c r="AT33" i="1"/>
  <c r="AT35" i="1"/>
  <c r="AT71" i="1"/>
  <c r="AU71" i="1"/>
  <c r="U33" i="1"/>
  <c r="AT60" i="1"/>
  <c r="AT28" i="1"/>
  <c r="AU73" i="1"/>
  <c r="U37" i="1"/>
  <c r="AT52" i="1"/>
  <c r="U41" i="1"/>
  <c r="U60" i="1"/>
  <c r="U38" i="1"/>
  <c r="U23" i="1"/>
  <c r="Q23" i="1" s="1"/>
  <c r="R23" i="1" s="1"/>
  <c r="U26" i="1"/>
  <c r="AT42" i="1"/>
  <c r="U42" i="1"/>
  <c r="U69" i="1"/>
  <c r="Q69" i="1" s="1"/>
  <c r="R69" i="1" s="1"/>
  <c r="AT64" i="1"/>
  <c r="U64" i="1"/>
  <c r="Q64" i="1" s="1"/>
  <c r="R64" i="1" s="1"/>
  <c r="AT70" i="1"/>
  <c r="U70" i="1"/>
  <c r="AU70" i="1" s="1"/>
  <c r="O75" i="1"/>
  <c r="AT54" i="1"/>
  <c r="AT15" i="1"/>
  <c r="N76" i="1"/>
  <c r="O76" i="1"/>
  <c r="M75" i="1"/>
  <c r="M76" i="1"/>
  <c r="N75" i="1"/>
  <c r="U61" i="1"/>
  <c r="Q61" i="1" s="1"/>
  <c r="R61" i="1" s="1"/>
  <c r="AT61" i="1"/>
  <c r="U24" i="1"/>
  <c r="AT24" i="1"/>
  <c r="U50" i="1"/>
  <c r="S50" i="1" s="1"/>
  <c r="AT50" i="1"/>
  <c r="U30" i="1"/>
  <c r="S30" i="1" s="1"/>
  <c r="AT30" i="1"/>
  <c r="U29" i="1"/>
  <c r="S29" i="1" s="1"/>
  <c r="AT29" i="1"/>
  <c r="U59" i="1"/>
  <c r="AT59" i="1"/>
  <c r="U19" i="1"/>
  <c r="S19" i="1" s="1"/>
  <c r="AT19" i="1"/>
  <c r="Q71" i="1"/>
  <c r="U25" i="1"/>
  <c r="S25" i="1" s="1"/>
  <c r="AT25" i="1"/>
  <c r="AT37" i="1"/>
  <c r="AT23" i="1"/>
  <c r="AT39" i="1"/>
  <c r="AT40" i="1"/>
  <c r="U66" i="1"/>
  <c r="AT66" i="1"/>
  <c r="U31" i="1"/>
  <c r="S31" i="1" s="1"/>
  <c r="AT31" i="1"/>
  <c r="U51" i="1"/>
  <c r="S51" i="1" s="1"/>
  <c r="AT51" i="1"/>
  <c r="AT26" i="1"/>
  <c r="U58" i="1"/>
  <c r="AT58" i="1"/>
  <c r="U68" i="1"/>
  <c r="AT68" i="1"/>
  <c r="U65" i="1"/>
  <c r="AT65" i="1"/>
  <c r="U57" i="1"/>
  <c r="Q57" i="1" s="1"/>
  <c r="R57" i="1" s="1"/>
  <c r="AT57" i="1"/>
  <c r="L75" i="1"/>
  <c r="L76" i="1"/>
  <c r="U56" i="1"/>
  <c r="S56" i="1" s="1"/>
  <c r="AT56" i="1"/>
  <c r="AT36" i="1"/>
  <c r="U63" i="1"/>
  <c r="AT63" i="1"/>
  <c r="U16" i="1"/>
  <c r="S16" i="1" s="1"/>
  <c r="AT16" i="1"/>
  <c r="AT41" i="1"/>
  <c r="U47" i="1"/>
  <c r="AT47" i="1"/>
  <c r="U55" i="1"/>
  <c r="AT55" i="1"/>
  <c r="AT38" i="1"/>
  <c r="U46" i="1"/>
  <c r="AT46" i="1"/>
  <c r="Q54" i="1"/>
  <c r="R54" i="1" s="1"/>
  <c r="AU54" i="1"/>
  <c r="U27" i="1"/>
  <c r="AT27" i="1"/>
  <c r="AT43" i="1"/>
  <c r="U67" i="1"/>
  <c r="AT67" i="1"/>
  <c r="U20" i="1"/>
  <c r="S20" i="1" s="1"/>
  <c r="AT20" i="1"/>
  <c r="AT18" i="1"/>
  <c r="AT21" i="1"/>
  <c r="U34" i="1"/>
  <c r="S34" i="1" s="1"/>
  <c r="AT34" i="1"/>
  <c r="U45" i="1"/>
  <c r="S45" i="1" s="1"/>
  <c r="AT45" i="1"/>
  <c r="P62" i="1"/>
  <c r="P14" i="1"/>
  <c r="U72" i="1"/>
  <c r="Q73" i="1"/>
  <c r="P53" i="1"/>
  <c r="Q17" i="1"/>
  <c r="R17" i="1" s="1"/>
  <c r="P32" i="1"/>
  <c r="Q33" i="1" l="1"/>
  <c r="U32" i="1"/>
  <c r="S52" i="1"/>
  <c r="S54" i="1"/>
  <c r="AU28" i="1"/>
  <c r="S60" i="1"/>
  <c r="S63" i="1"/>
  <c r="S65" i="1"/>
  <c r="S28" i="1"/>
  <c r="S40" i="1"/>
  <c r="S58" i="1"/>
  <c r="S59" i="1"/>
  <c r="S71" i="1"/>
  <c r="S27" i="1"/>
  <c r="S68" i="1"/>
  <c r="S67" i="1"/>
  <c r="AU52" i="1"/>
  <c r="S21" i="1"/>
  <c r="F81" i="1"/>
  <c r="F82" i="1" s="1"/>
  <c r="P75" i="1"/>
  <c r="E81" i="1"/>
  <c r="E82" i="1" s="1"/>
  <c r="Q55" i="1"/>
  <c r="R55" i="1" s="1"/>
  <c r="S44" i="1"/>
  <c r="Q44" i="1"/>
  <c r="R44" i="1" s="1"/>
  <c r="AU35" i="1"/>
  <c r="Q35" i="1"/>
  <c r="R35" i="1" s="1"/>
  <c r="S39" i="1"/>
  <c r="P77" i="1"/>
  <c r="R71" i="1"/>
  <c r="Q29" i="1"/>
  <c r="R29" i="1" s="1"/>
  <c r="Q25" i="1"/>
  <c r="R25" i="1" s="1"/>
  <c r="AU33" i="1"/>
  <c r="S41" i="1"/>
  <c r="Q41" i="1"/>
  <c r="R41" i="1" s="1"/>
  <c r="Q34" i="1"/>
  <c r="R34" i="1" s="1"/>
  <c r="Q58" i="1"/>
  <c r="R58" i="1" s="1"/>
  <c r="S33" i="1"/>
  <c r="S18" i="1"/>
  <c r="S15" i="1"/>
  <c r="S38" i="1"/>
  <c r="S26" i="1"/>
  <c r="AU41" i="1"/>
  <c r="S37" i="1"/>
  <c r="Q19" i="1"/>
  <c r="R19" i="1" s="1"/>
  <c r="AU60" i="1"/>
  <c r="Q47" i="1"/>
  <c r="R47" i="1" s="1"/>
  <c r="S47" i="1"/>
  <c r="Q60" i="1"/>
  <c r="R60" i="1" s="1"/>
  <c r="S70" i="1"/>
  <c r="S36" i="1"/>
  <c r="Q38" i="1"/>
  <c r="R38" i="1" s="1"/>
  <c r="S42" i="1"/>
  <c r="AU46" i="1"/>
  <c r="S46" i="1"/>
  <c r="AU42" i="1"/>
  <c r="Q42" i="1"/>
  <c r="R42" i="1" s="1"/>
  <c r="AU69" i="1"/>
  <c r="S69" i="1"/>
  <c r="AU64" i="1"/>
  <c r="S64" i="1"/>
  <c r="AU61" i="1"/>
  <c r="S61" i="1"/>
  <c r="AU57" i="1"/>
  <c r="S57" i="1"/>
  <c r="AU55" i="1"/>
  <c r="S55" i="1"/>
  <c r="Q70" i="1"/>
  <c r="R70" i="1" s="1"/>
  <c r="AU66" i="1"/>
  <c r="S66" i="1"/>
  <c r="AU24" i="1"/>
  <c r="S24" i="1"/>
  <c r="P76" i="1"/>
  <c r="AU37" i="1"/>
  <c r="Q21" i="1"/>
  <c r="R21" i="1" s="1"/>
  <c r="AU21" i="1"/>
  <c r="Q39" i="1"/>
  <c r="R39" i="1" s="1"/>
  <c r="AU39" i="1"/>
  <c r="AU67" i="1"/>
  <c r="Q67" i="1"/>
  <c r="R67" i="1" s="1"/>
  <c r="Q56" i="1"/>
  <c r="R56" i="1" s="1"/>
  <c r="AU56" i="1"/>
  <c r="AU25" i="1"/>
  <c r="T14" i="1"/>
  <c r="AU20" i="1"/>
  <c r="Q26" i="1"/>
  <c r="R26" i="1" s="1"/>
  <c r="AU26" i="1"/>
  <c r="AU65" i="1"/>
  <c r="Q65" i="1"/>
  <c r="R65" i="1" s="1"/>
  <c r="Q24" i="1"/>
  <c r="R24" i="1" s="1"/>
  <c r="Q15" i="1"/>
  <c r="R15" i="1" s="1"/>
  <c r="AU15" i="1"/>
  <c r="Q43" i="1"/>
  <c r="R43" i="1" s="1"/>
  <c r="AU43" i="1"/>
  <c r="AU38" i="1"/>
  <c r="Q16" i="1"/>
  <c r="R16" i="1" s="1"/>
  <c r="AU16" i="1"/>
  <c r="AU36" i="1"/>
  <c r="Q18" i="1"/>
  <c r="R18" i="1" s="1"/>
  <c r="AU18" i="1"/>
  <c r="Q37" i="1"/>
  <c r="R37" i="1" s="1"/>
  <c r="Q45" i="1"/>
  <c r="R45" i="1" s="1"/>
  <c r="AU45" i="1"/>
  <c r="AU68" i="1"/>
  <c r="Q68" i="1"/>
  <c r="R68" i="1" s="1"/>
  <c r="Q51" i="1"/>
  <c r="R51" i="1" s="1"/>
  <c r="AU51" i="1"/>
  <c r="Q40" i="1"/>
  <c r="R40" i="1" s="1"/>
  <c r="AU40" i="1"/>
  <c r="AU29" i="1"/>
  <c r="AU19" i="1"/>
  <c r="Q27" i="1"/>
  <c r="R27" i="1" s="1"/>
  <c r="AU27" i="1"/>
  <c r="Q63" i="1"/>
  <c r="R63" i="1" s="1"/>
  <c r="AU63" i="1"/>
  <c r="AU23" i="1"/>
  <c r="T32" i="1"/>
  <c r="AU47" i="1"/>
  <c r="AU50" i="1"/>
  <c r="Q50" i="1"/>
  <c r="R50" i="1" s="1"/>
  <c r="Q59" i="1"/>
  <c r="R59" i="1" s="1"/>
  <c r="AU59" i="1"/>
  <c r="Q46" i="1"/>
  <c r="R46" i="1" s="1"/>
  <c r="Q20" i="1"/>
  <c r="R20" i="1" s="1"/>
  <c r="T53" i="1"/>
  <c r="Q66" i="1"/>
  <c r="R66" i="1" s="1"/>
  <c r="Q36" i="1"/>
  <c r="R36" i="1" s="1"/>
  <c r="AU34" i="1"/>
  <c r="AU17" i="1"/>
  <c r="AU58" i="1"/>
  <c r="Q31" i="1"/>
  <c r="R31" i="1" s="1"/>
  <c r="AU31" i="1"/>
  <c r="Q30" i="1"/>
  <c r="R30" i="1" s="1"/>
  <c r="AU30" i="1"/>
  <c r="T72" i="1"/>
  <c r="R73" i="1"/>
  <c r="R72" i="1" s="1"/>
  <c r="Q72" i="1"/>
  <c r="R33" i="1"/>
  <c r="E83" i="1" l="1"/>
  <c r="E85" i="1" s="1"/>
  <c r="U77" i="1"/>
  <c r="AU77" i="1" s="1"/>
  <c r="S14" i="1"/>
  <c r="U76" i="1"/>
  <c r="AU76" i="1" s="1"/>
  <c r="R53" i="1"/>
  <c r="S53" i="1"/>
  <c r="F83" i="1"/>
  <c r="S32" i="1"/>
  <c r="S62" i="1"/>
  <c r="R32" i="1"/>
  <c r="R14" i="1"/>
  <c r="U75" i="1"/>
  <c r="AU75" i="1" s="1"/>
  <c r="T62" i="1"/>
  <c r="R62" i="1"/>
  <c r="R22" i="1"/>
  <c r="Q14" i="1"/>
  <c r="Q53" i="1"/>
  <c r="Q22" i="1"/>
  <c r="Q32" i="1"/>
  <c r="Q62" i="1"/>
  <c r="E87" i="1" l="1"/>
  <c r="Q77" i="1"/>
  <c r="F87" i="1"/>
  <c r="R77" i="1"/>
  <c r="F84" i="1"/>
  <c r="F85" i="1"/>
  <c r="E84" i="1"/>
  <c r="R75" i="1"/>
  <c r="R76" i="1"/>
  <c r="Q76" i="1"/>
  <c r="Q75" i="1"/>
  <c r="T22" i="1"/>
  <c r="S23" i="1"/>
  <c r="S22" i="1" s="1"/>
  <c r="F86" i="1" s="1"/>
  <c r="E86" i="1" l="1"/>
  <c r="S77" i="1"/>
  <c r="T76" i="1"/>
  <c r="T77" i="1"/>
  <c r="S76" i="1"/>
  <c r="S75" i="1"/>
  <c r="T75" i="1"/>
</calcChain>
</file>

<file path=xl/sharedStrings.xml><?xml version="1.0" encoding="utf-8"?>
<sst xmlns="http://schemas.openxmlformats.org/spreadsheetml/2006/main" count="831" uniqueCount="350">
  <si>
    <t>Kierunek studiów:</t>
  </si>
  <si>
    <t>Informatyka</t>
  </si>
  <si>
    <t>Profil:</t>
  </si>
  <si>
    <t>Ogólnoakademicki</t>
  </si>
  <si>
    <t>Stopień:</t>
  </si>
  <si>
    <t>Pierwszy</t>
  </si>
  <si>
    <t>Forma:</t>
  </si>
  <si>
    <t>Stacjonarne</t>
  </si>
  <si>
    <t>Specjalności:</t>
  </si>
  <si>
    <t>Sieci komputerowe (SK), Programowanie aplikacji (PA)</t>
  </si>
  <si>
    <t>Dyscyplina:</t>
  </si>
  <si>
    <t>Informatyka techniczna i telekomunikacja (80% - wiodąca), Automatyka, Elektrotechnika i Elektronika (20%)</t>
  </si>
  <si>
    <t>Lp.</t>
  </si>
  <si>
    <t>Nazwa przedmiotu</t>
  </si>
  <si>
    <t>Kod</t>
  </si>
  <si>
    <t>Prowadzący</t>
  </si>
  <si>
    <t>Godziny kontaktowe</t>
  </si>
  <si>
    <t>Godziny niekontaktowe</t>
  </si>
  <si>
    <t>ECTS</t>
  </si>
  <si>
    <t>Rygor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</si>
  <si>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</si>
  <si>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</si>
  <si>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</si>
  <si>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</si>
  <si>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</si>
  <si>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</si>
  <si>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</si>
  <si>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KONTROLA</t>
  </si>
  <si>
    <t>W</t>
  </si>
  <si>
    <t>Ćw</t>
  </si>
  <si>
    <t>Lab</t>
  </si>
  <si>
    <t>Sem</t>
  </si>
  <si>
    <t>Proj</t>
  </si>
  <si>
    <t>Prak</t>
  </si>
  <si>
    <t>Suma</t>
  </si>
  <si>
    <t>K</t>
  </si>
  <si>
    <t>PWT</t>
  </si>
  <si>
    <t>PWP</t>
  </si>
  <si>
    <t>E</t>
  </si>
  <si>
    <t>Teor.</t>
  </si>
  <si>
    <t>Prak.</t>
  </si>
  <si>
    <t>Kon.</t>
  </si>
  <si>
    <t>Nkon.</t>
  </si>
  <si>
    <t>Godz. kont.</t>
  </si>
  <si>
    <t>Godz. nkont.</t>
  </si>
  <si>
    <t>I.</t>
  </si>
  <si>
    <t>Moduł ogólnouczelniany</t>
  </si>
  <si>
    <t>Język angielski</t>
  </si>
  <si>
    <t>Ja</t>
  </si>
  <si>
    <t>SJO</t>
  </si>
  <si>
    <t>Angielski zawodowy</t>
  </si>
  <si>
    <t>Jz</t>
  </si>
  <si>
    <t>Wychowanie fizyczne</t>
  </si>
  <si>
    <t>Wf</t>
  </si>
  <si>
    <t>SWF</t>
  </si>
  <si>
    <t>Podstawy przedsiębiorczości</t>
  </si>
  <si>
    <t>Pp</t>
  </si>
  <si>
    <t>WNHIS</t>
  </si>
  <si>
    <t>Ochrona własności intelektualnej</t>
  </si>
  <si>
    <t>Owi</t>
  </si>
  <si>
    <t>BBodnar</t>
  </si>
  <si>
    <t>Grupa zajęć do wyboru 1</t>
  </si>
  <si>
    <t>H1</t>
  </si>
  <si>
    <t>Grupa zajęć do wyboru 2</t>
  </si>
  <si>
    <t>H2</t>
  </si>
  <si>
    <t>II.</t>
  </si>
  <si>
    <t>Moduł matematyczno-fizyczny</t>
  </si>
  <si>
    <t>Matematyka</t>
  </si>
  <si>
    <t>Mm</t>
  </si>
  <si>
    <t>KMiF</t>
  </si>
  <si>
    <t>Matematyka dyskretna</t>
  </si>
  <si>
    <t>Md</t>
  </si>
  <si>
    <t>Glaner</t>
  </si>
  <si>
    <t>Probabilistyka i statystyka</t>
  </si>
  <si>
    <t>Ps</t>
  </si>
  <si>
    <t>Romanuke</t>
  </si>
  <si>
    <t>Metody numeryczne</t>
  </si>
  <si>
    <t>Mn</t>
  </si>
  <si>
    <t>Fizyka</t>
  </si>
  <si>
    <t>Ff</t>
  </si>
  <si>
    <t>Podstawy elektrotechniki</t>
  </si>
  <si>
    <t>Pet</t>
  </si>
  <si>
    <t>KEO</t>
  </si>
  <si>
    <t>Podstawy elektroniki</t>
  </si>
  <si>
    <t>Pel</t>
  </si>
  <si>
    <t>KAO</t>
  </si>
  <si>
    <t>Podstawy automatyki</t>
  </si>
  <si>
    <t>Pa</t>
  </si>
  <si>
    <t>Układy cyfrowe</t>
  </si>
  <si>
    <t>Uc</t>
  </si>
  <si>
    <t>III.</t>
  </si>
  <si>
    <t>Moduł kierunkowy</t>
  </si>
  <si>
    <t>Podstawy informatyki</t>
  </si>
  <si>
    <t>Pi</t>
  </si>
  <si>
    <t>Grafika komputerowa</t>
  </si>
  <si>
    <t>Gk</t>
  </si>
  <si>
    <t>Masiejczyk</t>
  </si>
  <si>
    <t>Podstawy programowania</t>
  </si>
  <si>
    <t>Ppr</t>
  </si>
  <si>
    <t>Górski</t>
  </si>
  <si>
    <t>Programowanie obiektowe</t>
  </si>
  <si>
    <t>Pob</t>
  </si>
  <si>
    <t>Metody podejmowania decyzji</t>
  </si>
  <si>
    <t>Mpd</t>
  </si>
  <si>
    <t>Praczyk</t>
  </si>
  <si>
    <t>Inżynieria oprogramowania</t>
  </si>
  <si>
    <t>Io</t>
  </si>
  <si>
    <t>Błaszczyk</t>
  </si>
  <si>
    <t>Zarządzanie projektami informatycznymi</t>
  </si>
  <si>
    <t>Zpi</t>
  </si>
  <si>
    <t>Algorytmy i struktury danych</t>
  </si>
  <si>
    <t>Asd</t>
  </si>
  <si>
    <t>Jędruch</t>
  </si>
  <si>
    <t>Architektura systemów komputerowych</t>
  </si>
  <si>
    <t>Ask</t>
  </si>
  <si>
    <t>Żak</t>
  </si>
  <si>
    <t>Systemy operacyjne</t>
  </si>
  <si>
    <t>So</t>
  </si>
  <si>
    <t>Sieci komputerowe</t>
  </si>
  <si>
    <t>Sk</t>
  </si>
  <si>
    <t>Bodnar</t>
  </si>
  <si>
    <t>Sieci bezprzewodowe</t>
  </si>
  <si>
    <t>Sb</t>
  </si>
  <si>
    <t>Trojczak</t>
  </si>
  <si>
    <t>Bazy danych</t>
  </si>
  <si>
    <t>Bd</t>
  </si>
  <si>
    <t>Systemy wbudowane</t>
  </si>
  <si>
    <t>Sw</t>
  </si>
  <si>
    <t>Programowanie inżynierskie Matlab</t>
  </si>
  <si>
    <t>Pim</t>
  </si>
  <si>
    <t>Podstawy przetwarzania sygnałów</t>
  </si>
  <si>
    <t>Pps</t>
  </si>
  <si>
    <t>Cyfrowe przetwarzanie obrazów</t>
  </si>
  <si>
    <t>Cpo</t>
  </si>
  <si>
    <t>Sztuczna inteligencja</t>
  </si>
  <si>
    <t>Si</t>
  </si>
  <si>
    <t>Projektowanie interfejsu użytkownika</t>
  </si>
  <si>
    <t>Piu</t>
  </si>
  <si>
    <t>Kryptografia i bezpieczeństwo informacji</t>
  </si>
  <si>
    <t>Kbi</t>
  </si>
  <si>
    <t>Rodwald</t>
  </si>
  <si>
    <t>IVa.</t>
  </si>
  <si>
    <t>Moduł specjalnościowy: Sieci komputerowe</t>
  </si>
  <si>
    <t>Protokoły sieci teleinformatycznych</t>
  </si>
  <si>
    <t>Pst</t>
  </si>
  <si>
    <t>Zalewski</t>
  </si>
  <si>
    <t>Administrowanie serwerami</t>
  </si>
  <si>
    <t>As</t>
  </si>
  <si>
    <t>Ogrodniczak</t>
  </si>
  <si>
    <t>Technologie routingu i switchingu</t>
  </si>
  <si>
    <t>Trs</t>
  </si>
  <si>
    <t>Projektowanie infrastruktury sieci</t>
  </si>
  <si>
    <t>Pri</t>
  </si>
  <si>
    <t>Kruczko</t>
  </si>
  <si>
    <t>Technologia sieci rozległych</t>
  </si>
  <si>
    <t>Tsr</t>
  </si>
  <si>
    <t>Usługi katalogowe</t>
  </si>
  <si>
    <t>Uk</t>
  </si>
  <si>
    <t>Zarządzanie sieciami komputerowymi</t>
  </si>
  <si>
    <t>Zsk</t>
  </si>
  <si>
    <t>Pabich</t>
  </si>
  <si>
    <t>Bezpieczeństwo sieci</t>
  </si>
  <si>
    <t>Bs</t>
  </si>
  <si>
    <t>IVb.</t>
  </si>
  <si>
    <t>Moduł specjalnościowy: Programowanie aplikacji</t>
  </si>
  <si>
    <t>Technologie internetowe</t>
  </si>
  <si>
    <t>Tin</t>
  </si>
  <si>
    <t>Zacniewski</t>
  </si>
  <si>
    <t>Administrowanie bazami danych</t>
  </si>
  <si>
    <t>Abd</t>
  </si>
  <si>
    <t>Aplikacje w środowisku kontenerowym</t>
  </si>
  <si>
    <t>Ako</t>
  </si>
  <si>
    <t>Szulc</t>
  </si>
  <si>
    <t>Aplikacje mobilne</t>
  </si>
  <si>
    <t>Amo</t>
  </si>
  <si>
    <t>Programowanie gier</t>
  </si>
  <si>
    <t>Pg</t>
  </si>
  <si>
    <t>Bezpieczeństwo aplikacji internetowych</t>
  </si>
  <si>
    <t>Bai</t>
  </si>
  <si>
    <t>Integracja systemów informatycznych</t>
  </si>
  <si>
    <t>Isi</t>
  </si>
  <si>
    <t>Bednarski</t>
  </si>
  <si>
    <t>Budowa i wdrażanie aplikacji w chmurze</t>
  </si>
  <si>
    <t>Bwa</t>
  </si>
  <si>
    <t>V.</t>
  </si>
  <si>
    <t>Praktyki</t>
  </si>
  <si>
    <t>VI.</t>
  </si>
  <si>
    <t>Moduł dyplomowy</t>
  </si>
  <si>
    <t>Seminarium dyplomowe</t>
  </si>
  <si>
    <t>Sd</t>
  </si>
  <si>
    <t>Kierownik KI</t>
  </si>
  <si>
    <t>Praca dyplomowa</t>
  </si>
  <si>
    <t>Razem</t>
  </si>
  <si>
    <t>SK</t>
  </si>
  <si>
    <t>PA</t>
  </si>
  <si>
    <t>SA</t>
  </si>
  <si>
    <t>PODSUMOWANIE</t>
  </si>
  <si>
    <t>Godziny kontaktowe:</t>
  </si>
  <si>
    <t>w tym 240h praktyk</t>
  </si>
  <si>
    <t>Razem godzin:</t>
  </si>
  <si>
    <t>Punkty ECTS:</t>
  </si>
  <si>
    <t>Punkty ECTS praktyczne/wszystkich:</t>
  </si>
  <si>
    <t>Punkty ECTS wybor/wszystkich:</t>
  </si>
  <si>
    <t>Punkty ECTS kontaktowe/wszystkie:</t>
  </si>
  <si>
    <t>Praktyki 8 tyg. (1 tydzień = 30h praktyk) = 8 tyg. * 40 godz/tyg. * 45 min = 14 400 min = 240 h</t>
  </si>
  <si>
    <t>Legenda:</t>
  </si>
  <si>
    <t>SK - specjalność Sieci komputerowe</t>
  </si>
  <si>
    <t>PA - specjalność Programowanie aplikacji</t>
  </si>
  <si>
    <t>W - wykład</t>
  </si>
  <si>
    <t>Ćw - ćwiczenia</t>
  </si>
  <si>
    <t>Lab - laboratorium</t>
  </si>
  <si>
    <t>Sem - seminarium</t>
  </si>
  <si>
    <t>Proj - projekt</t>
  </si>
  <si>
    <t>Prak - praktyki</t>
  </si>
  <si>
    <t>K - konsultacje</t>
  </si>
  <si>
    <t>PWT - przygotowanie do części teoretycznej</t>
  </si>
  <si>
    <t>PWP - przygotowanie do części praktycznej</t>
  </si>
  <si>
    <t>E - przygotowanie do egzaminu</t>
  </si>
  <si>
    <t>Teor. - punkty ECTS odpowiadające części teoretycznej</t>
  </si>
  <si>
    <t>Prak. - punkty ECTS odpowiadające części praktycznej</t>
  </si>
  <si>
    <t>Kon. - punkty ECTS odpowiadające zajęciom prowadzonym w bezpośrednim kontakcie (nauczycieli lub innych osób)</t>
  </si>
  <si>
    <t>Nkon. - punkty ECTS odpowiadające nakładowi pracy własnej studenta</t>
  </si>
  <si>
    <t>Efekt</t>
  </si>
  <si>
    <t>Odniesienie do uniwersalnych charakterystyk na poziomie 6 PRK</t>
  </si>
  <si>
    <t>Odniesienie do charakterystyk efektów uczenia się na poziomie 6 PRK</t>
  </si>
  <si>
    <t>Wiedza</t>
  </si>
  <si>
    <t>I1_W1</t>
  </si>
  <si>
    <t>P6U_W</t>
  </si>
  <si>
    <t>P6S_WK, P6S_WK-inż.</t>
  </si>
  <si>
    <t>I1_W2</t>
  </si>
  <si>
    <t>Ma uporządkowaną wiedzę z matematyki i metod jej stosowania ze szczególnym uwzględnieniem aspektów istotnych w informatyce w tym matematyki dyskretnej, probablilistyki i statystyki oraz metod numerycznych.</t>
  </si>
  <si>
    <t>P6S_WG</t>
  </si>
  <si>
    <t>I1_W3</t>
  </si>
  <si>
    <t>I1_W4</t>
  </si>
  <si>
    <t>P6S_WG, P6S_WG-inż.</t>
  </si>
  <si>
    <t>I1_W5</t>
  </si>
  <si>
    <t>I1_W6</t>
  </si>
  <si>
    <t>Ma wiedzę w zakresie grafiki komputerowej, tworzenia interfejsów oraz metod komunikacji z komputerem.</t>
  </si>
  <si>
    <t>I1_W7</t>
  </si>
  <si>
    <t>Zna zasady budowy i funkcjonowania podstawowych składników systemów komputerowych oraz systemów wbudowanych.</t>
  </si>
  <si>
    <t>I1_W8</t>
  </si>
  <si>
    <t>Ma uporządkowaną wiedzę w zakresie technologii sieciowych, w tym sieci bezprzewodowych.</t>
  </si>
  <si>
    <t>I1_W9</t>
  </si>
  <si>
    <t>Ma uporządkowaną, podbudowaną teoretycznie wiedzę w zakresie architektury systemów informatycznych, zasad projektowania oprogramowania i zarządzania projektami informatycznymi.</t>
  </si>
  <si>
    <t>I1_W10</t>
  </si>
  <si>
    <t>Zna wybrane języki programowania, ma wiedzę w zakresie stosowanych technik programowania, a także projektowania i wytwarzania aplikacji i systemów informatycznych.</t>
  </si>
  <si>
    <t>I1_W11</t>
  </si>
  <si>
    <t>Ma wiedzę na temat algorytmizacji, podstaw tworzenia i przetwarzania struktur danych.</t>
  </si>
  <si>
    <t>I1_W12</t>
  </si>
  <si>
    <t>Ma uporządkowaną, podbudowana teoretycznie wiedzę o działaniu systemów operacyjnych oraz budowie, zasadach projektowania i działania systemów bazodanowych.</t>
  </si>
  <si>
    <t>I1_W13</t>
  </si>
  <si>
    <t>I1_W14</t>
  </si>
  <si>
    <t>I1_W15</t>
  </si>
  <si>
    <t>Ma wiedze w zakresie metod gromadzenia, przetwarzania i analizy danych w wybranych zastosowaniach.</t>
  </si>
  <si>
    <t>I1_W16</t>
  </si>
  <si>
    <t>Ma wiedzę z zakresu ochrony i bezpieczeństwa informacji gromadzonej i przetwarzanej w systemach informatycznych.</t>
  </si>
  <si>
    <t>Umiejętności</t>
  </si>
  <si>
    <t>I1_U1</t>
  </si>
  <si>
    <t>Potrafi posługiwać się językiem angielskim na poziomie B2 (ESOKJ RD) w tym zna słownictwo specjalistyczne dla obszaru informatyki.</t>
  </si>
  <si>
    <t>P6U_U</t>
  </si>
  <si>
    <t>P6S_UK</t>
  </si>
  <si>
    <t>I1_U2</t>
  </si>
  <si>
    <t>Potrafi pozyskiwać informacje z dokumentacji, literatury, Internetu oraz innych wiarygodnych źródeł w języku polskim i angielskim, integrować je, dokonywać ich interpretacji oraz wyciągać wnioski i formułować opinie.</t>
  </si>
  <si>
    <t>I1_U3</t>
  </si>
  <si>
    <t>Potrafi ocenić pod kątem ekonomicznym i zarządczym znaczenie podejmowanych przez siebie działań inżynierskich oraz scharakteryzować podstawowe zasady aktywności gospodarczej.</t>
  </si>
  <si>
    <t>P6S_UW, P6S_UW-inż.</t>
  </si>
  <si>
    <t>I1_U4</t>
  </si>
  <si>
    <t>Potrafi wykorzystywać poznane modele, metody matematyczne, symulacje komputerowe oraz inne techniki obliczeniowe do rozwiązywania prostych problemów inżynierskich.</t>
  </si>
  <si>
    <t>I1_U5</t>
  </si>
  <si>
    <t>Potrafi wyjaśnić podstawowe zależności fizyczne oraz wykorzystać je do rozwiązywania prostych problemów inżynierskich.</t>
  </si>
  <si>
    <t>I1_U6</t>
  </si>
  <si>
    <t>Potrafi opisać działanie i zaprojetkować proste układy automatyki oraz układy elektroniczne w tym cyfrowe.</t>
  </si>
  <si>
    <t>I1_U7</t>
  </si>
  <si>
    <t xml:space="preserve">Potrafi wybrać i zastosować odpowiednie metody i technniki pozyskiwania, przetwarzania i analizy danych w rozwiązywaniu prostych problemów inżynierskich. </t>
  </si>
  <si>
    <t>I1_U8</t>
  </si>
  <si>
    <t>Potrafi zaprojektować i wykonać prosty interfejs graficzny lub komunikacyjny.</t>
  </si>
  <si>
    <t>I1_U9</t>
  </si>
  <si>
    <t>Potrafi wykonywać operacje w różnych systemach pozycyjnych i kodować informacje a także formułować proste algorytmy.</t>
  </si>
  <si>
    <t>I1_U10</t>
  </si>
  <si>
    <t>Potrafi zaprojektować i zrealizować procesy wytwarzania aplikacji oraz aktywnie uczestniczyć w pracach zespołów informatycznych przejmując zadania charakterystyczne dla przydzielonej mu roli.</t>
  </si>
  <si>
    <t>I1_U11</t>
  </si>
  <si>
    <t>Potrafi projektować proste systemy mikroprocesorowego sterowania oraz posługiwać się językami programowania wysokiego i niskiego poziomu, w tym do oprogramowania mikrokontrolerów.</t>
  </si>
  <si>
    <t>I1_U12</t>
  </si>
  <si>
    <t>I1_U13</t>
  </si>
  <si>
    <t>Potrafi projektować i administrować sieciami komputerowymi, w tym sieciami bezprzewodowymi.</t>
  </si>
  <si>
    <t>I1_U14</t>
  </si>
  <si>
    <t>Potrafi opisać obecne klasy architektur sprzętu komputerowego, objaśnić budowę jego elementów składowych oraz wskazać wpływ architektury na działanie oprogramowania.</t>
  </si>
  <si>
    <t>I1_U15</t>
  </si>
  <si>
    <t>Umie właściwie wybrać i zastosować język i paradygmaty programowania dla analizowanego problemu inżynierskiego.</t>
  </si>
  <si>
    <t>I1_U16</t>
  </si>
  <si>
    <t>Potrafi wybrać i zastosować algorytm i struktury danych odpowiednie dla postawionego problemu programistycznego.</t>
  </si>
  <si>
    <t>I1_U17</t>
  </si>
  <si>
    <t>Potrafi scharakteryzować budowę i działanie wybranych systemów informatycznych oraz określić ich przydatność w konkretnych zastosowaniach inżynierskich</t>
  </si>
  <si>
    <t>I1_U18</t>
  </si>
  <si>
    <t>Potrafi administrować wybranymi systemami informatycznymi w tym zapewnić bezpieczeństwo samych systemów jak i przechowywanych w nich danych.</t>
  </si>
  <si>
    <t>I1_U19</t>
  </si>
  <si>
    <t>Potrafi zaprojektować i wykonać relacyjna bazę danych oraz skonstruować przykładowe zapytanie SQL.</t>
  </si>
  <si>
    <t>I1_U20</t>
  </si>
  <si>
    <t>Potrafi wybrać i zastosować właściwe techniki i narzędzia sztucznej inteligencji do rozwiązania prostych problemów inżynierskich.</t>
  </si>
  <si>
    <t>I1_U21</t>
  </si>
  <si>
    <t>Potrafi określić możliwość zastosowania współczesnych metod i narzędzi informatycznych do rozwiązywania prostych problemów inżynierskich oraz wybrać i zastosować wybraną technikę w szczególności do rozwiązania w zakresie wybranej specjalności.</t>
  </si>
  <si>
    <t>I1_U22</t>
  </si>
  <si>
    <t>Potrafi wykryć i zinterpretować związki występujące w zjawiskach rzeczywistych oraz wykorzystać je w tworzeniu modeli, programów i symulacji komputerowych dla wybranej specjalności.</t>
  </si>
  <si>
    <t>I1_U23</t>
  </si>
  <si>
    <t>Potrafi pracować w zespole, przyjmując w nim różne role i rozumiejąc zasady odpowiedzialności i współpracy; rozumie konieczność systematycznej pracy nad projektami o charakterze długofalowym</t>
  </si>
  <si>
    <t>P6S_UO</t>
  </si>
  <si>
    <t>I1_U24</t>
  </si>
  <si>
    <t>Ma umiejętności niezbędne do funkcjonowania w środowisku pracy, umie zachowywać się w sposób właściwy dla sfery przemysłowej, w tym sam rozwijać swoją wiedzę i umiejętności zawodowe a także dyskutować na tematy informatyczne.</t>
  </si>
  <si>
    <t>Kompetencje społeczne</t>
  </si>
  <si>
    <t>I1_K1</t>
  </si>
  <si>
    <t xml:space="preserve">Rozumie potrzebę dbania o ciągły rozwój intelektualny i fizyczny oraz prowadzenia zdrowego trybu życia. </t>
  </si>
  <si>
    <t>P6U_K</t>
  </si>
  <si>
    <t>P6S_KK</t>
  </si>
  <si>
    <t>I1_K2</t>
  </si>
  <si>
    <t>Rozumie znaczenie społecznego oddziaływania informatyki, w tym technik komunikacyjnych i mobilności oraz posiada potrzebę informowania społeczeństwa o rozwoju i osiągnięciach informatyki.</t>
  </si>
  <si>
    <t>P6S_KO</t>
  </si>
  <si>
    <t>I1_K3</t>
  </si>
  <si>
    <t>Rozumie społeczny i zawodowy kontekst informatyki, jej zasady prawne i etyczne oraz świadomie stosuje się do przepisów obowiązującego prawa, przestrzega zasad etyki zawodowej.</t>
  </si>
  <si>
    <t>P6S_KR</t>
  </si>
  <si>
    <t>I1_K4</t>
  </si>
  <si>
    <t>Rozumie znaczenie pojęć istotnych w procesie kształtowania postaw takich jak patriotyzm, humanizm, tolerancja, współpraca wielokulturowa.</t>
  </si>
  <si>
    <t>I1_K5</t>
  </si>
  <si>
    <t>Rozumie kontekst ekonomiczny podejmowanych przez siebie działań i potrafi myśleć i działać w sposób przedsiębiorczy.</t>
  </si>
  <si>
    <t>I1_K6</t>
  </si>
  <si>
    <t>Zdaje sobie sprawę z konieczności uczenia się przez całe życie i adaptowania swojej wiedzy do zmian cywilizacyjnych.</t>
  </si>
  <si>
    <t>Średnio 1godz/punkty ECTS:</t>
  </si>
  <si>
    <t>Załącznik nr 2</t>
  </si>
  <si>
    <t>Ma wiedzę z prawa gospodarczego i prawa autorskiego oraz wiedzę w zakresie inżynierskich uwarunkowań działań o charakterze ekonomiczno-zarządczym.</t>
  </si>
  <si>
    <t>Ma wiedzę z zakresu fizyki ze szczególnym uwzględnieniem aspektów istotnych w informatyce.</t>
  </si>
  <si>
    <t>Ma wiedzę z zakresu automatyki, elektotechniki i elektroniki, metod budowy układów elektronicznych, technik cyfrowych i ich zastosowania w systemach komputerowych.</t>
  </si>
  <si>
    <t>Zna zagadnienia z zakresu informatyki, jej uwarunkowań społecznych, zawodowych, środowiskowych, prawnych i etycznych.</t>
  </si>
  <si>
    <t>Zna metody, techniki i narzędzia z zakresu sztucznej inteligencji stosowane przy rozwiązywaniu prostych problemów technicznych.</t>
  </si>
  <si>
    <t>Zna narzędzia wspomagające pracę informatyka oraz specyficzne narzędzia związane z wybraną specjalnością w tym wiedzę w zakresie zastosowań rozwiązań informatycznych w rzeczywistych dziedzinach aktywności ludzkiej</t>
  </si>
  <si>
    <t>Grupa zajęć do wyboru 1:</t>
  </si>
  <si>
    <t>Podstawy ekonomii</t>
  </si>
  <si>
    <t>Podstawy prawa</t>
  </si>
  <si>
    <t>Wprowadzenie do psychologii</t>
  </si>
  <si>
    <t>Podstawy socjologii</t>
  </si>
  <si>
    <t>Podstawy stosunków międzynarodowych</t>
  </si>
  <si>
    <t>Podstawy bezpieczeństwa narodowego</t>
  </si>
  <si>
    <t>Podstawy zarządzania i organizacji</t>
  </si>
  <si>
    <t>Podstawy filozofii i logiki</t>
  </si>
  <si>
    <t>Podstawy pedagogiki</t>
  </si>
  <si>
    <t>Historia techniki</t>
  </si>
  <si>
    <t>Ma umiejętności w zakresie projektowania oprogramowania z wykorzystaniem wybranych technik modelowania i zasadami poznanych metody posługując się przy tym wybranymi narzędziami i technikami wspomagającymi wytwarzanie aplikacji.</t>
  </si>
  <si>
    <t>X</t>
  </si>
  <si>
    <t>Kod efektu uczenia się</t>
  </si>
  <si>
    <t>Lp</t>
  </si>
  <si>
    <t>PLAN STUDIÓW</t>
  </si>
  <si>
    <t>Zatwierdzony. Uchwała Senatu 16/2021 z dnia 22.04.2021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</si>
</sst>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FF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4" fillId="0" borderId="21" xfId="0" applyFont="1" applyBorder="1"/>
    <xf numFmtId="0" fontId="0" fillId="0" borderId="24" xfId="0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29" xfId="0" applyFont="1" applyFill="1" applyBorder="1"/>
    <xf numFmtId="0" fontId="0" fillId="2" borderId="18" xfId="0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13" xfId="0" applyFont="1" applyFill="1" applyBorder="1"/>
    <xf numFmtId="0" fontId="0" fillId="2" borderId="10" xfId="0" applyFill="1" applyBorder="1"/>
    <xf numFmtId="0" fontId="7" fillId="2" borderId="13" xfId="0" applyFont="1" applyFill="1" applyBorder="1"/>
    <xf numFmtId="0" fontId="7" fillId="2" borderId="3" xfId="0" applyFont="1" applyFill="1" applyBorder="1"/>
    <xf numFmtId="0" fontId="6" fillId="2" borderId="10" xfId="0" applyFont="1" applyFill="1" applyBorder="1"/>
    <xf numFmtId="0" fontId="9" fillId="2" borderId="13" xfId="0" applyFont="1" applyFill="1" applyBorder="1"/>
    <xf numFmtId="0" fontId="9" fillId="2" borderId="3" xfId="0" applyFont="1" applyFill="1" applyBorder="1"/>
    <xf numFmtId="0" fontId="8" fillId="2" borderId="10" xfId="0" applyFont="1" applyFill="1" applyBorder="1"/>
    <xf numFmtId="0" fontId="4" fillId="2" borderId="25" xfId="0" applyFont="1" applyFill="1" applyBorder="1"/>
    <xf numFmtId="0" fontId="0" fillId="2" borderId="33" xfId="0" applyFill="1" applyBorder="1"/>
    <xf numFmtId="0" fontId="8" fillId="2" borderId="34" xfId="0" applyFont="1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25" xfId="0" applyFill="1" applyBorder="1"/>
    <xf numFmtId="0" fontId="0" fillId="2" borderId="34" xfId="0" applyFill="1" applyBorder="1"/>
    <xf numFmtId="0" fontId="0" fillId="4" borderId="1" xfId="0" applyFill="1" applyBorder="1"/>
    <xf numFmtId="0" fontId="0" fillId="4" borderId="6" xfId="0" applyFill="1" applyBorder="1"/>
    <xf numFmtId="0" fontId="6" fillId="4" borderId="14" xfId="0" applyFont="1" applyFill="1" applyBorder="1"/>
    <xf numFmtId="0" fontId="6" fillId="4" borderId="1" xfId="0" applyFont="1" applyFill="1" applyBorder="1"/>
    <xf numFmtId="0" fontId="7" fillId="4" borderId="1" xfId="0" applyFont="1" applyFill="1" applyBorder="1"/>
    <xf numFmtId="0" fontId="6" fillId="4" borderId="11" xfId="0" applyFont="1" applyFill="1" applyBorder="1"/>
    <xf numFmtId="0" fontId="0" fillId="4" borderId="5" xfId="0" applyFill="1" applyBorder="1"/>
    <xf numFmtId="0" fontId="0" fillId="4" borderId="14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6" fillId="4" borderId="15" xfId="0" applyFont="1" applyFill="1" applyBorder="1"/>
    <xf numFmtId="0" fontId="6" fillId="4" borderId="8" xfId="0" applyFont="1" applyFill="1" applyBorder="1"/>
    <xf numFmtId="0" fontId="7" fillId="4" borderId="8" xfId="0" applyFont="1" applyFill="1" applyBorder="1"/>
    <xf numFmtId="0" fontId="6" fillId="4" borderId="12" xfId="0" applyFont="1" applyFill="1" applyBorder="1"/>
    <xf numFmtId="0" fontId="0" fillId="4" borderId="7" xfId="0" applyFill="1" applyBorder="1"/>
    <xf numFmtId="0" fontId="0" fillId="4" borderId="15" xfId="0" applyFill="1" applyBorder="1"/>
    <xf numFmtId="0" fontId="0" fillId="4" borderId="12" xfId="0" applyFill="1" applyBorder="1"/>
    <xf numFmtId="0" fontId="8" fillId="3" borderId="14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8" fillId="3" borderId="11" xfId="0" applyFont="1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12" xfId="0" applyFill="1" applyBorder="1"/>
    <xf numFmtId="0" fontId="4" fillId="2" borderId="26" xfId="0" applyFont="1" applyFill="1" applyBorder="1"/>
    <xf numFmtId="0" fontId="4" fillId="2" borderId="43" xfId="0" applyFont="1" applyFill="1" applyBorder="1"/>
    <xf numFmtId="0" fontId="4" fillId="2" borderId="28" xfId="0" applyFont="1" applyFill="1" applyBorder="1"/>
    <xf numFmtId="0" fontId="0" fillId="0" borderId="2" xfId="0" applyBorder="1"/>
    <xf numFmtId="0" fontId="0" fillId="0" borderId="3" xfId="0" applyBorder="1"/>
    <xf numFmtId="0" fontId="8" fillId="0" borderId="4" xfId="0" applyFont="1" applyBorder="1"/>
    <xf numFmtId="0" fontId="0" fillId="0" borderId="13" xfId="0" applyBorder="1"/>
    <xf numFmtId="0" fontId="0" fillId="0" borderId="10" xfId="0" applyBorder="1"/>
    <xf numFmtId="0" fontId="0" fillId="0" borderId="4" xfId="0" applyBorder="1"/>
    <xf numFmtId="0" fontId="8" fillId="0" borderId="1" xfId="0" applyFont="1" applyBorder="1"/>
    <xf numFmtId="0" fontId="8" fillId="0" borderId="6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0" fontId="8" fillId="0" borderId="14" xfId="0" applyFont="1" applyBorder="1"/>
    <xf numFmtId="0" fontId="6" fillId="3" borderId="1" xfId="0" applyFont="1" applyFill="1" applyBorder="1"/>
    <xf numFmtId="0" fontId="6" fillId="3" borderId="6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4" fillId="2" borderId="44" xfId="0" applyFont="1" applyFill="1" applyBorder="1"/>
    <xf numFmtId="0" fontId="4" fillId="2" borderId="4" xfId="0" applyFont="1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4" fillId="2" borderId="27" xfId="0" applyFont="1" applyFill="1" applyBorder="1"/>
    <xf numFmtId="0" fontId="4" fillId="2" borderId="18" xfId="0" applyFont="1" applyFill="1" applyBorder="1"/>
    <xf numFmtId="0" fontId="4" fillId="2" borderId="10" xfId="0" applyFont="1" applyFill="1" applyBorder="1"/>
    <xf numFmtId="0" fontId="7" fillId="2" borderId="10" xfId="0" applyFont="1" applyFill="1" applyBorder="1"/>
    <xf numFmtId="0" fontId="9" fillId="2" borderId="10" xfId="0" applyFont="1" applyFill="1" applyBorder="1"/>
    <xf numFmtId="0" fontId="4" fillId="2" borderId="40" xfId="0" applyFont="1" applyFill="1" applyBorder="1"/>
    <xf numFmtId="0" fontId="4" fillId="4" borderId="4" xfId="0" applyFont="1" applyFill="1" applyBorder="1"/>
    <xf numFmtId="0" fontId="4" fillId="4" borderId="13" xfId="0" applyFont="1" applyFill="1" applyBorder="1"/>
    <xf numFmtId="0" fontId="4" fillId="4" borderId="3" xfId="0" applyFont="1" applyFill="1" applyBorder="1"/>
    <xf numFmtId="0" fontId="4" fillId="4" borderId="10" xfId="0" applyFont="1" applyFill="1" applyBorder="1"/>
    <xf numFmtId="0" fontId="4" fillId="4" borderId="2" xfId="0" applyFont="1" applyFill="1" applyBorder="1"/>
    <xf numFmtId="0" fontId="8" fillId="3" borderId="23" xfId="0" applyFont="1" applyFill="1" applyBorder="1"/>
    <xf numFmtId="0" fontId="8" fillId="3" borderId="21" xfId="0" applyFont="1" applyFill="1" applyBorder="1"/>
    <xf numFmtId="0" fontId="9" fillId="3" borderId="21" xfId="0" applyFont="1" applyFill="1" applyBorder="1"/>
    <xf numFmtId="0" fontId="0" fillId="3" borderId="21" xfId="0" applyFill="1" applyBorder="1"/>
    <xf numFmtId="0" fontId="8" fillId="3" borderId="24" xfId="0" applyFont="1" applyFill="1" applyBorder="1"/>
    <xf numFmtId="0" fontId="0" fillId="0" borderId="29" xfId="0" applyBorder="1"/>
    <xf numFmtId="0" fontId="0" fillId="0" borderId="17" xfId="0" applyBorder="1"/>
    <xf numFmtId="0" fontId="4" fillId="0" borderId="17" xfId="0" applyFont="1" applyBorder="1"/>
    <xf numFmtId="0" fontId="0" fillId="0" borderId="18" xfId="0" applyBorder="1"/>
    <xf numFmtId="0" fontId="0" fillId="2" borderId="26" xfId="0" applyFill="1" applyBorder="1"/>
    <xf numFmtId="0" fontId="0" fillId="2" borderId="28" xfId="0" applyFill="1" applyBorder="1"/>
    <xf numFmtId="0" fontId="0" fillId="2" borderId="27" xfId="0" applyFill="1" applyBorder="1"/>
    <xf numFmtId="0" fontId="4" fillId="2" borderId="45" xfId="0" applyFont="1" applyFill="1" applyBorder="1"/>
    <xf numFmtId="0" fontId="4" fillId="2" borderId="46" xfId="0" applyFont="1" applyFill="1" applyBorder="1"/>
    <xf numFmtId="0" fontId="0" fillId="2" borderId="47" xfId="0" applyFill="1" applyBorder="1"/>
    <xf numFmtId="0" fontId="8" fillId="0" borderId="5" xfId="0" applyFont="1" applyFill="1" applyBorder="1"/>
    <xf numFmtId="0" fontId="8" fillId="0" borderId="1" xfId="0" applyFont="1" applyFill="1" applyBorder="1"/>
    <xf numFmtId="0" fontId="8" fillId="0" borderId="6" xfId="0" applyFont="1" applyFill="1" applyBorder="1"/>
    <xf numFmtId="0" fontId="4" fillId="4" borderId="45" xfId="0" applyFont="1" applyFill="1" applyBorder="1" applyAlignment="1">
      <alignment horizontal="center"/>
    </xf>
    <xf numFmtId="0" fontId="0" fillId="4" borderId="16" xfId="0" applyFill="1" applyBorder="1"/>
    <xf numFmtId="9" fontId="0" fillId="4" borderId="5" xfId="1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6" xfId="0" applyFont="1" applyFill="1" applyBorder="1"/>
    <xf numFmtId="0" fontId="4" fillId="7" borderId="8" xfId="0" applyFont="1" applyFill="1" applyBorder="1"/>
    <xf numFmtId="0" fontId="4" fillId="7" borderId="9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4" fillId="3" borderId="14" xfId="0" applyFont="1" applyFill="1" applyBorder="1"/>
    <xf numFmtId="0" fontId="4" fillId="7" borderId="15" xfId="0" applyFont="1" applyFill="1" applyBorder="1"/>
    <xf numFmtId="0" fontId="4" fillId="3" borderId="5" xfId="0" applyFont="1" applyFill="1" applyBorder="1"/>
    <xf numFmtId="0" fontId="4" fillId="7" borderId="7" xfId="0" applyFont="1" applyFill="1" applyBorder="1"/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left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10" fillId="8" borderId="33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/>
    </xf>
    <xf numFmtId="0" fontId="0" fillId="3" borderId="44" xfId="0" applyFill="1" applyBorder="1"/>
    <xf numFmtId="9" fontId="0" fillId="3" borderId="6" xfId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9" fontId="0" fillId="0" borderId="0" xfId="1" applyFont="1" applyFill="1" applyBorder="1"/>
    <xf numFmtId="0" fontId="6" fillId="3" borderId="5" xfId="0" applyFont="1" applyFill="1" applyBorder="1"/>
    <xf numFmtId="0" fontId="1" fillId="4" borderId="1" xfId="0" applyFont="1" applyFill="1" applyBorder="1"/>
    <xf numFmtId="0" fontId="4" fillId="0" borderId="0" xfId="0" applyFont="1"/>
    <xf numFmtId="0" fontId="1" fillId="0" borderId="5" xfId="0" applyFont="1" applyBorder="1"/>
    <xf numFmtId="0" fontId="1" fillId="0" borderId="14" xfId="0" applyFont="1" applyBorder="1"/>
    <xf numFmtId="0" fontId="1" fillId="0" borderId="1" xfId="0" applyFont="1" applyBorder="1"/>
    <xf numFmtId="0" fontId="1" fillId="4" borderId="5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0" fillId="8" borderId="14" xfId="0" applyFill="1" applyBorder="1"/>
    <xf numFmtId="0" fontId="0" fillId="8" borderId="1" xfId="0" applyFill="1" applyBorder="1"/>
    <xf numFmtId="0" fontId="0" fillId="8" borderId="11" xfId="0" applyFill="1" applyBorder="1"/>
    <xf numFmtId="0" fontId="0" fillId="8" borderId="5" xfId="0" applyFill="1" applyBorder="1"/>
    <xf numFmtId="0" fontId="0" fillId="8" borderId="6" xfId="0" applyFill="1" applyBorder="1"/>
    <xf numFmtId="0" fontId="0" fillId="0" borderId="14" xfId="0" applyFill="1" applyBorder="1"/>
    <xf numFmtId="0" fontId="0" fillId="0" borderId="1" xfId="0" applyFill="1" applyBorder="1"/>
    <xf numFmtId="0" fontId="0" fillId="0" borderId="11" xfId="0" applyFill="1" applyBorder="1"/>
    <xf numFmtId="0" fontId="12" fillId="8" borderId="1" xfId="0" applyFont="1" applyFill="1" applyBorder="1" applyAlignment="1">
      <alignment horizontal="left" vertical="center" wrapText="1"/>
    </xf>
    <xf numFmtId="0" fontId="0" fillId="0" borderId="44" xfId="0" applyBorder="1"/>
    <xf numFmtId="0" fontId="0" fillId="0" borderId="16" xfId="0" applyBorder="1"/>
    <xf numFmtId="0" fontId="0" fillId="2" borderId="46" xfId="0" applyFill="1" applyBorder="1"/>
    <xf numFmtId="0" fontId="0" fillId="2" borderId="39" xfId="0" applyFill="1" applyBorder="1"/>
    <xf numFmtId="0" fontId="0" fillId="2" borderId="38" xfId="0" applyFill="1" applyBorder="1"/>
    <xf numFmtId="0" fontId="0" fillId="2" borderId="45" xfId="0" applyFill="1" applyBorder="1"/>
    <xf numFmtId="0" fontId="0" fillId="2" borderId="32" xfId="0" applyFill="1" applyBorder="1"/>
    <xf numFmtId="0" fontId="0" fillId="2" borderId="30" xfId="0" applyFill="1" applyBorder="1"/>
    <xf numFmtId="0" fontId="4" fillId="0" borderId="32" xfId="0" applyFont="1" applyBorder="1"/>
    <xf numFmtId="0" fontId="0" fillId="0" borderId="0" xfId="0" applyAlignment="1">
      <alignment textRotation="90"/>
    </xf>
    <xf numFmtId="0" fontId="4" fillId="0" borderId="27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5" fillId="0" borderId="51" xfId="2" applyFont="1" applyFill="1" applyBorder="1" applyAlignment="1">
      <alignment horizontal="right"/>
    </xf>
    <xf numFmtId="0" fontId="5" fillId="0" borderId="52" xfId="2" applyFont="1" applyFill="1" applyBorder="1" applyAlignment="1">
      <alignment horizontal="right"/>
    </xf>
    <xf numFmtId="0" fontId="5" fillId="0" borderId="53" xfId="2" applyFont="1" applyFill="1" applyBorder="1" applyAlignment="1">
      <alignment horizontal="right"/>
    </xf>
    <xf numFmtId="0" fontId="5" fillId="0" borderId="54" xfId="2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5" fillId="0" borderId="50" xfId="2" applyFont="1" applyFill="1" applyBorder="1" applyAlignment="1">
      <alignment horizontal="right"/>
    </xf>
    <xf numFmtId="0" fontId="5" fillId="0" borderId="37" xfId="2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0" fillId="0" borderId="28" xfId="0" applyBorder="1" applyAlignment="1">
      <alignment horizontal="center" textRotation="90"/>
    </xf>
    <xf numFmtId="0" fontId="0" fillId="0" borderId="31" xfId="0" applyBorder="1" applyAlignment="1">
      <alignment horizontal="center" textRotation="90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7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2" borderId="64" xfId="0" applyFill="1" applyBorder="1" applyAlignment="1">
      <alignment horizontal="center" textRotation="90"/>
    </xf>
    <xf numFmtId="0" fontId="0" fillId="2" borderId="63" xfId="0" applyFill="1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59" xfId="0" applyFont="1" applyFill="1" applyBorder="1"/>
    <xf numFmtId="0" fontId="13" fillId="2" borderId="60" xfId="0" applyFont="1" applyFill="1" applyBorder="1"/>
    <xf numFmtId="0" fontId="13" fillId="2" borderId="62" xfId="0" applyFont="1" applyFill="1" applyBorder="1"/>
    <xf numFmtId="0" fontId="13" fillId="2" borderId="61" xfId="0" applyFont="1" applyFill="1" applyBorder="1"/>
    <xf numFmtId="0" fontId="13" fillId="2" borderId="59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3" fillId="2" borderId="62" xfId="0" applyFont="1" applyFill="1" applyBorder="1" applyAlignment="1">
      <alignment horizontal="center"/>
    </xf>
    <xf numFmtId="0" fontId="13" fillId="2" borderId="61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8" fillId="0" borderId="0" xfId="0" applyFont="1" applyFill="1" applyAlignment="1">
      <alignment horizontal="left"/>
    </xf>
  </cellXfs>
  <cellStyles count="4">
    <cellStyle name="Normalny" xfId="0" builtinId="0"/>
    <cellStyle name="Normalny 2" xfId="2"/>
    <cellStyle name="Procentowy" xfId="1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studi&#243;w%20I%20stopnia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ia stacjonarne"/>
      <sheetName val="Efekty uczenia się"/>
      <sheetName val="Macierz efektów uczenia się"/>
    </sheetNames>
    <sheetDataSet>
      <sheetData sheetId="0">
        <row r="10">
          <cell r="A10" t="str">
            <v>I.</v>
          </cell>
          <cell r="B10" t="str">
            <v>Moduł ogólnouczelniany</v>
          </cell>
          <cell r="C10"/>
          <cell r="D10"/>
        </row>
        <row r="11">
          <cell r="A11">
            <v>1</v>
          </cell>
          <cell r="B11" t="str">
            <v>Język angielski</v>
          </cell>
        </row>
        <row r="12">
          <cell r="A12">
            <v>2</v>
          </cell>
          <cell r="B12" t="str">
            <v>Angielski zawodowy</v>
          </cell>
        </row>
        <row r="13">
          <cell r="A13">
            <v>3</v>
          </cell>
          <cell r="B13" t="str">
            <v>Wychowanie fizyczne</v>
          </cell>
        </row>
        <row r="14">
          <cell r="A14">
            <v>4</v>
          </cell>
          <cell r="B14" t="str">
            <v>Podstawy przedsiębiorczości</v>
          </cell>
        </row>
        <row r="15">
          <cell r="A15">
            <v>5</v>
          </cell>
          <cell r="B15" t="str">
            <v>Ochrona własności intelektualnej</v>
          </cell>
        </row>
        <row r="16">
          <cell r="A16">
            <v>6</v>
          </cell>
          <cell r="B16" t="str">
            <v>Grupa zajęć do wyboru 1</v>
          </cell>
        </row>
        <row r="17">
          <cell r="A17">
            <v>7</v>
          </cell>
          <cell r="B17" t="str">
            <v>Grupa zajęć do wyboru 2</v>
          </cell>
        </row>
        <row r="18">
          <cell r="A18" t="str">
            <v>II.</v>
          </cell>
          <cell r="B18" t="str">
            <v>Moduł matematyczno-fizyczny</v>
          </cell>
        </row>
        <row r="19">
          <cell r="A19">
            <v>1</v>
          </cell>
          <cell r="B19" t="str">
            <v>Matematyka</v>
          </cell>
        </row>
        <row r="20">
          <cell r="A20">
            <v>2</v>
          </cell>
          <cell r="B20" t="str">
            <v>Matematyka dyskretna</v>
          </cell>
        </row>
        <row r="21">
          <cell r="A21">
            <v>3</v>
          </cell>
          <cell r="B21" t="str">
            <v>Probabilistyka i statystyka</v>
          </cell>
        </row>
        <row r="22">
          <cell r="A22">
            <v>4</v>
          </cell>
          <cell r="B22" t="str">
            <v>Metody numeryczne</v>
          </cell>
        </row>
        <row r="23">
          <cell r="A23">
            <v>5</v>
          </cell>
          <cell r="B23" t="str">
            <v>Fizyka</v>
          </cell>
        </row>
        <row r="24">
          <cell r="A24">
            <v>6</v>
          </cell>
          <cell r="B24" t="str">
            <v>Podstawy elektrotechniki</v>
          </cell>
        </row>
        <row r="25">
          <cell r="A25">
            <v>7</v>
          </cell>
          <cell r="B25" t="str">
            <v>Podstawy elektroniki</v>
          </cell>
        </row>
        <row r="26">
          <cell r="A26">
            <v>8</v>
          </cell>
          <cell r="B26" t="str">
            <v>Podstawy automatyki</v>
          </cell>
        </row>
        <row r="27">
          <cell r="A27">
            <v>9</v>
          </cell>
          <cell r="B27" t="str">
            <v>Układy cyfrowe</v>
          </cell>
        </row>
        <row r="28">
          <cell r="A28" t="str">
            <v>III.</v>
          </cell>
          <cell r="B28" t="str">
            <v>Moduł kierunkowy</v>
          </cell>
        </row>
        <row r="29">
          <cell r="A29">
            <v>1</v>
          </cell>
          <cell r="B29" t="str">
            <v>Podstawy informatyki</v>
          </cell>
        </row>
        <row r="30">
          <cell r="A30">
            <v>2</v>
          </cell>
          <cell r="B30" t="str">
            <v>Grafika komputerowa</v>
          </cell>
        </row>
        <row r="31">
          <cell r="A31">
            <v>3</v>
          </cell>
          <cell r="B31" t="str">
            <v>Podstawy programowania</v>
          </cell>
        </row>
        <row r="32">
          <cell r="A32">
            <v>4</v>
          </cell>
          <cell r="B32" t="str">
            <v>Programowanie obiektowe</v>
          </cell>
        </row>
        <row r="33">
          <cell r="A33">
            <v>5</v>
          </cell>
          <cell r="B33" t="str">
            <v>Metody podejmowania decyzji</v>
          </cell>
        </row>
        <row r="34">
          <cell r="A34">
            <v>6</v>
          </cell>
          <cell r="B34" t="str">
            <v>Inżynieria oprogramowania</v>
          </cell>
        </row>
        <row r="35">
          <cell r="A35">
            <v>7</v>
          </cell>
          <cell r="B35" t="str">
            <v>Zarządzanie projektami informatycznymi</v>
          </cell>
        </row>
        <row r="36">
          <cell r="A36">
            <v>8</v>
          </cell>
          <cell r="B36" t="str">
            <v>Algorytmy i struktury danych</v>
          </cell>
        </row>
        <row r="37">
          <cell r="A37">
            <v>9</v>
          </cell>
          <cell r="B37" t="str">
            <v>Architektura systemów komputerowych</v>
          </cell>
        </row>
        <row r="38">
          <cell r="A38">
            <v>10</v>
          </cell>
          <cell r="B38" t="str">
            <v>Systemy operacyjne</v>
          </cell>
        </row>
        <row r="39">
          <cell r="A39">
            <v>11</v>
          </cell>
          <cell r="B39" t="str">
            <v>Sieci komputerowe</v>
          </cell>
        </row>
        <row r="40">
          <cell r="A40">
            <v>12</v>
          </cell>
          <cell r="B40" t="str">
            <v>Sieci bezprzewodowe</v>
          </cell>
        </row>
        <row r="41">
          <cell r="A41">
            <v>13</v>
          </cell>
          <cell r="B41" t="str">
            <v>Bazy danych</v>
          </cell>
        </row>
        <row r="42">
          <cell r="A42">
            <v>14</v>
          </cell>
          <cell r="B42" t="str">
            <v>Systemy wbudowane</v>
          </cell>
        </row>
        <row r="43">
          <cell r="A43">
            <v>15</v>
          </cell>
          <cell r="B43" t="str">
            <v>Programowanie inżynierskie Matlab</v>
          </cell>
        </row>
        <row r="44">
          <cell r="A44">
            <v>16</v>
          </cell>
          <cell r="B44" t="str">
            <v>Podstawy przetwarzania sygnałów</v>
          </cell>
        </row>
        <row r="45">
          <cell r="A45">
            <v>17</v>
          </cell>
          <cell r="B45" t="str">
            <v>Cyfrowe przetwarzanie obrazów</v>
          </cell>
        </row>
        <row r="46">
          <cell r="A46">
            <v>18</v>
          </cell>
          <cell r="B46" t="str">
            <v>Sztuczna inteligencja</v>
          </cell>
        </row>
        <row r="47">
          <cell r="A47">
            <v>19</v>
          </cell>
          <cell r="B47" t="str">
            <v>Projektowanie interfejsu użytkownika</v>
          </cell>
        </row>
        <row r="48">
          <cell r="A48">
            <v>20</v>
          </cell>
          <cell r="B48" t="str">
            <v>Kryptografia i bezpieczeństwo informacji</v>
          </cell>
        </row>
        <row r="49">
          <cell r="A49" t="str">
            <v>IVa.</v>
          </cell>
          <cell r="B49" t="str">
            <v>Moduł specjalnościowy: Sieci komputerowe</v>
          </cell>
        </row>
        <row r="50">
          <cell r="A50">
            <v>1</v>
          </cell>
          <cell r="B50" t="str">
            <v>Protokoły sieci teleinformatycznych</v>
          </cell>
        </row>
        <row r="51">
          <cell r="A51">
            <v>2</v>
          </cell>
          <cell r="B51" t="str">
            <v>Administrowanie serwerami</v>
          </cell>
        </row>
        <row r="52">
          <cell r="A52">
            <v>3</v>
          </cell>
          <cell r="B52" t="str">
            <v>Technologie routingu i switchingu</v>
          </cell>
        </row>
        <row r="53">
          <cell r="A53">
            <v>4</v>
          </cell>
          <cell r="B53" t="str">
            <v>Projektowanie infrastruktury sieci</v>
          </cell>
        </row>
        <row r="54">
          <cell r="A54">
            <v>5</v>
          </cell>
          <cell r="B54" t="str">
            <v>Technologia sieci rozległych</v>
          </cell>
        </row>
        <row r="55">
          <cell r="A55">
            <v>6</v>
          </cell>
          <cell r="B55" t="str">
            <v>Usługi katalogowe</v>
          </cell>
        </row>
        <row r="56">
          <cell r="A56">
            <v>7</v>
          </cell>
          <cell r="B56" t="str">
            <v>Zarządzanie sieciami komputerowymi</v>
          </cell>
        </row>
        <row r="57">
          <cell r="A57">
            <v>8</v>
          </cell>
          <cell r="B57" t="str">
            <v>Bezpieczeństwo sieci</v>
          </cell>
        </row>
        <row r="58">
          <cell r="A58" t="str">
            <v>IVb.</v>
          </cell>
          <cell r="B58" t="str">
            <v>Moduł specjalnościowy: Programowanie aplikacji</v>
          </cell>
        </row>
        <row r="59">
          <cell r="A59">
            <v>1</v>
          </cell>
          <cell r="B59" t="str">
            <v>Technologie internetowe</v>
          </cell>
        </row>
        <row r="60">
          <cell r="A60">
            <v>2</v>
          </cell>
          <cell r="B60" t="str">
            <v>Administrowanie bazami danych</v>
          </cell>
        </row>
        <row r="61">
          <cell r="A61">
            <v>3</v>
          </cell>
          <cell r="B61" t="str">
            <v>Aplikacje w środowisku kontenerowym</v>
          </cell>
        </row>
        <row r="62">
          <cell r="A62">
            <v>4</v>
          </cell>
          <cell r="B62" t="str">
            <v>Aplikacje mobilne</v>
          </cell>
        </row>
        <row r="63">
          <cell r="A63">
            <v>5</v>
          </cell>
          <cell r="B63" t="str">
            <v>Programowanie gier</v>
          </cell>
        </row>
        <row r="64">
          <cell r="A64">
            <v>6</v>
          </cell>
          <cell r="B64" t="str">
            <v>Bezpieczeństwo aplikacji internetowych</v>
          </cell>
        </row>
        <row r="65">
          <cell r="A65">
            <v>7</v>
          </cell>
          <cell r="B65" t="str">
            <v>Integracja systemów informatycznych</v>
          </cell>
        </row>
        <row r="66">
          <cell r="A66">
            <v>8</v>
          </cell>
          <cell r="B66" t="str">
            <v>Budowa i wdrażanie aplikacji w chmurze</v>
          </cell>
        </row>
        <row r="67">
          <cell r="A67" t="str">
            <v>IVc.</v>
          </cell>
          <cell r="B67" t="str">
            <v>Moduł specjalnościowy: ?</v>
          </cell>
        </row>
        <row r="68">
          <cell r="A68">
            <v>1</v>
          </cell>
          <cell r="B68" t="str">
            <v>Podstawy robotyki</v>
          </cell>
        </row>
        <row r="69">
          <cell r="A69">
            <v>2</v>
          </cell>
          <cell r="B69" t="str">
            <v>Języki programowania w robotyce</v>
          </cell>
        </row>
        <row r="70">
          <cell r="A70">
            <v>3</v>
          </cell>
          <cell r="B70" t="str">
            <v>Zaawansowane techniki sztucznej inteligencji</v>
          </cell>
        </row>
        <row r="71">
          <cell r="A71">
            <v>4</v>
          </cell>
          <cell r="B71" t="str">
            <v>Czujniki pomiarowe i sensory</v>
          </cell>
        </row>
        <row r="72">
          <cell r="A72">
            <v>5</v>
          </cell>
          <cell r="B72" t="str">
            <v>Programowanie inżynierskie LabView</v>
          </cell>
        </row>
        <row r="73">
          <cell r="A73">
            <v>6</v>
          </cell>
          <cell r="B73" t="str">
            <v>Autonomiczne systemy nawigacyjne</v>
          </cell>
        </row>
        <row r="74">
          <cell r="A74">
            <v>7</v>
          </cell>
          <cell r="B74" t="str">
            <v>Podstawy systemów telekomunikacyjnych</v>
          </cell>
        </row>
        <row r="75">
          <cell r="A75">
            <v>8</v>
          </cell>
          <cell r="B75" t="str">
            <v>?</v>
          </cell>
        </row>
        <row r="76">
          <cell r="A76" t="str">
            <v>V.</v>
          </cell>
          <cell r="B76" t="str">
            <v>Praktyki</v>
          </cell>
        </row>
        <row r="77">
          <cell r="A77" t="str">
            <v>VI.</v>
          </cell>
          <cell r="B77" t="str">
            <v>Moduł dyplomowy</v>
          </cell>
        </row>
        <row r="78">
          <cell r="A78">
            <v>1</v>
          </cell>
          <cell r="B78" t="str">
            <v>Seminarium dyplomowe</v>
          </cell>
        </row>
        <row r="79">
          <cell r="A79">
            <v>2</v>
          </cell>
          <cell r="B79" t="str">
            <v>Praca dyplomowa</v>
          </cell>
        </row>
      </sheetData>
      <sheetData sheetId="1">
        <row r="3">
          <cell r="A3" t="str">
            <v>Wiedza</v>
          </cell>
        </row>
        <row r="4">
          <cell r="A4" t="str">
            <v>I1_W1</v>
          </cell>
        </row>
        <row r="5">
          <cell r="A5" t="str">
            <v>I1_W2</v>
          </cell>
        </row>
        <row r="6">
          <cell r="A6" t="str">
            <v>I1_W3</v>
          </cell>
        </row>
        <row r="7">
          <cell r="A7" t="str">
            <v>I1_W4</v>
          </cell>
        </row>
        <row r="8">
          <cell r="A8" t="str">
            <v>I1_W5</v>
          </cell>
        </row>
        <row r="9">
          <cell r="A9" t="str">
            <v>I1_W6</v>
          </cell>
        </row>
        <row r="10">
          <cell r="A10" t="str">
            <v>I1_W7</v>
          </cell>
        </row>
        <row r="11">
          <cell r="A11" t="str">
            <v>I1_W8</v>
          </cell>
        </row>
        <row r="12">
          <cell r="A12" t="str">
            <v>I1_W9</v>
          </cell>
        </row>
        <row r="13">
          <cell r="A13" t="str">
            <v>I1_W10</v>
          </cell>
        </row>
        <row r="14">
          <cell r="A14" t="str">
            <v>I1_W11</v>
          </cell>
        </row>
        <row r="15">
          <cell r="A15" t="str">
            <v>I1_W12</v>
          </cell>
        </row>
        <row r="16">
          <cell r="A16" t="str">
            <v>I1_W13</v>
          </cell>
        </row>
        <row r="17">
          <cell r="A17" t="str">
            <v>I1_W14</v>
          </cell>
        </row>
        <row r="18">
          <cell r="A18" t="str">
            <v>I1_W15</v>
          </cell>
        </row>
        <row r="19">
          <cell r="A19" t="str">
            <v>I1_W16</v>
          </cell>
        </row>
        <row r="20">
          <cell r="A20" t="str">
            <v>Umiejętności</v>
          </cell>
        </row>
        <row r="21">
          <cell r="A21" t="str">
            <v>I1_U1</v>
          </cell>
        </row>
        <row r="22">
          <cell r="A22" t="str">
            <v>I1_U2</v>
          </cell>
        </row>
        <row r="23">
          <cell r="A23" t="str">
            <v>I1_U3</v>
          </cell>
        </row>
        <row r="24">
          <cell r="A24" t="str">
            <v>I1_U4</v>
          </cell>
        </row>
        <row r="25">
          <cell r="A25" t="str">
            <v>I1_U5</v>
          </cell>
        </row>
        <row r="26">
          <cell r="A26" t="str">
            <v>I1_U6</v>
          </cell>
        </row>
        <row r="27">
          <cell r="A27" t="str">
            <v>I1_U7</v>
          </cell>
        </row>
        <row r="28">
          <cell r="A28" t="str">
            <v>I1_U8</v>
          </cell>
        </row>
        <row r="29">
          <cell r="A29" t="str">
            <v>I1_U9</v>
          </cell>
        </row>
        <row r="30">
          <cell r="A30" t="str">
            <v>I1_U10</v>
          </cell>
        </row>
        <row r="31">
          <cell r="A31" t="str">
            <v>I1_U11</v>
          </cell>
        </row>
        <row r="32">
          <cell r="A32" t="str">
            <v>I1_U12</v>
          </cell>
        </row>
        <row r="33">
          <cell r="A33" t="str">
            <v>I1_U13</v>
          </cell>
        </row>
        <row r="34">
          <cell r="A34" t="str">
            <v>I1_U14</v>
          </cell>
        </row>
        <row r="35">
          <cell r="A35" t="str">
            <v>I1_U15</v>
          </cell>
        </row>
        <row r="36">
          <cell r="A36" t="str">
            <v>I1_U16</v>
          </cell>
        </row>
        <row r="37">
          <cell r="A37" t="str">
            <v>I1_U17</v>
          </cell>
        </row>
        <row r="38">
          <cell r="A38" t="str">
            <v>I1_U18</v>
          </cell>
        </row>
        <row r="39">
          <cell r="A39" t="str">
            <v>I1_U19</v>
          </cell>
        </row>
        <row r="40">
          <cell r="A40" t="str">
            <v>I1_U20</v>
          </cell>
        </row>
        <row r="41">
          <cell r="A41" t="str">
            <v>I1_U21</v>
          </cell>
        </row>
        <row r="42">
          <cell r="A42" t="str">
            <v>I1_U22</v>
          </cell>
        </row>
        <row r="43">
          <cell r="A43" t="str">
            <v>I1_U23</v>
          </cell>
        </row>
        <row r="44">
          <cell r="A44" t="str">
            <v>I1_U24</v>
          </cell>
        </row>
        <row r="45">
          <cell r="A45" t="str">
            <v>Kompetencje społeczne</v>
          </cell>
        </row>
        <row r="46">
          <cell r="A46" t="str">
            <v>I1_K1</v>
          </cell>
        </row>
        <row r="47">
          <cell r="A47" t="str">
            <v>I1_K2</v>
          </cell>
        </row>
        <row r="48">
          <cell r="A48" t="str">
            <v>I1_K3</v>
          </cell>
        </row>
        <row r="49">
          <cell r="A49" t="str">
            <v>I1_K4</v>
          </cell>
        </row>
        <row r="50">
          <cell r="A50" t="str">
            <v>I1_K5</v>
          </cell>
        </row>
        <row r="51">
          <cell r="A51" t="str">
            <v>I1_K6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1"/>
  <sheetViews>
    <sheetView tabSelected="1" zoomScale="85" zoomScaleNormal="85" workbookViewId="0"/>
  </sheetViews>
  <sheetFormatPr defaultRowHeight="15" x14ac:dyDescent="0.25"/>
  <cols>
    <col min="1" max="1" width="5.7109375" customWidth="1"/>
    <col min="2" max="2" width="36.7109375" customWidth="1"/>
    <col min="3" max="3" width="5.7109375" customWidth="1"/>
    <col min="4" max="4" width="16.7109375" customWidth="1"/>
    <col min="5" max="10" width="5.7109375" customWidth="1"/>
    <col min="11" max="11" width="8.7109375" customWidth="1"/>
    <col min="12" max="15" width="5.7109375" customWidth="1"/>
    <col min="16" max="16" width="8.7109375" customWidth="1"/>
    <col min="17" max="20" width="5.7109375" customWidth="1"/>
    <col min="21" max="21" width="8.7109375" customWidth="1"/>
    <col min="22" max="22" width="5.7109375" customWidth="1"/>
    <col min="23" max="43" width="6.7109375" customWidth="1"/>
    <col min="45" max="47" width="5.7109375" customWidth="1"/>
  </cols>
  <sheetData>
    <row r="1" spans="1:47" x14ac:dyDescent="0.25">
      <c r="A1" s="303" t="s">
        <v>349</v>
      </c>
    </row>
    <row r="2" spans="1:47" x14ac:dyDescent="0.25">
      <c r="A2" s="210" t="s">
        <v>326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</row>
    <row r="3" spans="1:47" ht="15.75" x14ac:dyDescent="0.25">
      <c r="A3" s="301" t="s">
        <v>348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</row>
    <row r="5" spans="1:47" ht="15" customHeight="1" x14ac:dyDescent="0.25">
      <c r="A5" s="304" t="s">
        <v>0</v>
      </c>
      <c r="B5" s="304"/>
      <c r="C5" s="211" t="s">
        <v>1</v>
      </c>
      <c r="D5" s="211"/>
      <c r="E5" s="211"/>
      <c r="F5" s="211"/>
      <c r="G5" s="211"/>
      <c r="H5" s="211"/>
    </row>
    <row r="6" spans="1:47" ht="15" customHeight="1" x14ac:dyDescent="0.25">
      <c r="A6" s="211" t="s">
        <v>2</v>
      </c>
      <c r="B6" s="211"/>
      <c r="C6" s="211" t="s">
        <v>3</v>
      </c>
      <c r="D6" s="211"/>
      <c r="E6" s="211"/>
      <c r="F6" s="211"/>
      <c r="G6" s="211"/>
      <c r="H6" s="211"/>
    </row>
    <row r="7" spans="1:47" ht="15" customHeight="1" x14ac:dyDescent="0.25">
      <c r="A7" s="211" t="s">
        <v>4</v>
      </c>
      <c r="B7" s="211"/>
      <c r="C7" s="211" t="s">
        <v>5</v>
      </c>
      <c r="D7" s="211"/>
      <c r="E7" s="211"/>
      <c r="F7" s="211"/>
      <c r="G7" s="211"/>
      <c r="H7" s="211"/>
    </row>
    <row r="8" spans="1:47" ht="15" customHeight="1" x14ac:dyDescent="0.25">
      <c r="A8" s="211" t="s">
        <v>6</v>
      </c>
      <c r="B8" s="211"/>
      <c r="C8" s="211" t="s">
        <v>7</v>
      </c>
      <c r="D8" s="211"/>
      <c r="E8" s="211"/>
      <c r="F8" s="211"/>
      <c r="G8" s="211"/>
      <c r="H8" s="211"/>
    </row>
    <row r="9" spans="1:47" ht="15" customHeight="1" x14ac:dyDescent="0.25">
      <c r="A9" t="s">
        <v>8</v>
      </c>
      <c r="C9" s="211" t="s">
        <v>9</v>
      </c>
      <c r="D9" s="211"/>
      <c r="E9" s="211"/>
      <c r="F9" s="211"/>
      <c r="G9" s="211"/>
      <c r="H9" s="211"/>
      <c r="I9" s="211"/>
      <c r="J9" s="211"/>
      <c r="K9" s="211"/>
    </row>
    <row r="10" spans="1:47" ht="15" customHeight="1" x14ac:dyDescent="0.25">
      <c r="A10" s="211" t="s">
        <v>10</v>
      </c>
      <c r="B10" s="211"/>
      <c r="C10" s="212" t="s">
        <v>11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</row>
    <row r="11" spans="1:47" ht="15.75" thickBot="1" x14ac:dyDescent="0.3"/>
    <row r="12" spans="1:47" s="1" customFormat="1" ht="31.9" customHeight="1" x14ac:dyDescent="0.25">
      <c r="A12" s="216" t="s">
        <v>12</v>
      </c>
      <c r="B12" s="218" t="s">
        <v>13</v>
      </c>
      <c r="C12" s="218" t="s">
        <v>14</v>
      </c>
      <c r="D12" s="220" t="s">
        <v>15</v>
      </c>
      <c r="E12" s="222" t="s">
        <v>16</v>
      </c>
      <c r="F12" s="213"/>
      <c r="G12" s="213"/>
      <c r="H12" s="213"/>
      <c r="I12" s="213"/>
      <c r="J12" s="213"/>
      <c r="K12" s="213"/>
      <c r="L12" s="213" t="s">
        <v>17</v>
      </c>
      <c r="M12" s="213"/>
      <c r="N12" s="213"/>
      <c r="O12" s="213"/>
      <c r="P12" s="213"/>
      <c r="Q12" s="213" t="s">
        <v>18</v>
      </c>
      <c r="R12" s="213"/>
      <c r="S12" s="213"/>
      <c r="T12" s="213"/>
      <c r="U12" s="213"/>
      <c r="V12" s="248" t="s">
        <v>19</v>
      </c>
      <c r="W12" s="214" t="s">
        <v>20</v>
      </c>
      <c r="X12" s="213"/>
      <c r="Y12" s="215"/>
      <c r="Z12" s="214" t="s">
        <v>21</v>
      </c>
      <c r="AA12" s="213"/>
      <c r="AB12" s="215"/>
      <c r="AC12" s="214" t="s">
        <v>22</v>
      </c>
      <c r="AD12" s="213"/>
      <c r="AE12" s="215"/>
      <c r="AF12" s="222" t="s">
        <v>23</v>
      </c>
      <c r="AG12" s="213"/>
      <c r="AH12" s="248"/>
      <c r="AI12" s="214" t="s">
        <v>24</v>
      </c>
      <c r="AJ12" s="213"/>
      <c r="AK12" s="215"/>
      <c r="AL12" s="222" t="s">
        <v>25</v>
      </c>
      <c r="AM12" s="213"/>
      <c r="AN12" s="248"/>
      <c r="AO12" s="214" t="s">
        <v>26</v>
      </c>
      <c r="AP12" s="213"/>
      <c r="AQ12" s="215"/>
      <c r="AS12" s="241" t="s">
        <v>27</v>
      </c>
      <c r="AT12" s="242"/>
      <c r="AU12" s="243"/>
    </row>
    <row r="13" spans="1:47" s="1" customFormat="1" ht="31.9" customHeight="1" thickBot="1" x14ac:dyDescent="0.3">
      <c r="A13" s="217"/>
      <c r="B13" s="219"/>
      <c r="C13" s="219"/>
      <c r="D13" s="221"/>
      <c r="E13" s="13" t="s">
        <v>28</v>
      </c>
      <c r="F13" s="10" t="s">
        <v>29</v>
      </c>
      <c r="G13" s="10" t="s">
        <v>30</v>
      </c>
      <c r="H13" s="10" t="s">
        <v>31</v>
      </c>
      <c r="I13" s="10" t="s">
        <v>32</v>
      </c>
      <c r="J13" s="10" t="s">
        <v>33</v>
      </c>
      <c r="K13" s="10" t="s">
        <v>34</v>
      </c>
      <c r="L13" s="10" t="s">
        <v>35</v>
      </c>
      <c r="M13" s="10" t="s">
        <v>36</v>
      </c>
      <c r="N13" s="10" t="s">
        <v>37</v>
      </c>
      <c r="O13" s="10" t="s">
        <v>38</v>
      </c>
      <c r="P13" s="10" t="s">
        <v>34</v>
      </c>
      <c r="Q13" s="10" t="s">
        <v>39</v>
      </c>
      <c r="R13" s="10" t="s">
        <v>40</v>
      </c>
      <c r="S13" s="10" t="s">
        <v>41</v>
      </c>
      <c r="T13" s="10" t="s">
        <v>42</v>
      </c>
      <c r="U13" s="10" t="s">
        <v>34</v>
      </c>
      <c r="V13" s="249"/>
      <c r="W13" s="19" t="s">
        <v>43</v>
      </c>
      <c r="X13" s="11" t="s">
        <v>44</v>
      </c>
      <c r="Y13" s="12" t="s">
        <v>18</v>
      </c>
      <c r="Z13" s="19" t="s">
        <v>43</v>
      </c>
      <c r="AA13" s="11" t="s">
        <v>44</v>
      </c>
      <c r="AB13" s="12" t="s">
        <v>18</v>
      </c>
      <c r="AC13" s="19" t="s">
        <v>43</v>
      </c>
      <c r="AD13" s="11" t="s">
        <v>44</v>
      </c>
      <c r="AE13" s="12" t="s">
        <v>18</v>
      </c>
      <c r="AF13" s="18" t="s">
        <v>43</v>
      </c>
      <c r="AG13" s="11" t="s">
        <v>44</v>
      </c>
      <c r="AH13" s="20" t="s">
        <v>18</v>
      </c>
      <c r="AI13" s="19" t="s">
        <v>43</v>
      </c>
      <c r="AJ13" s="11" t="s">
        <v>44</v>
      </c>
      <c r="AK13" s="12" t="s">
        <v>18</v>
      </c>
      <c r="AL13" s="18" t="s">
        <v>43</v>
      </c>
      <c r="AM13" s="11" t="s">
        <v>44</v>
      </c>
      <c r="AN13" s="20" t="s">
        <v>18</v>
      </c>
      <c r="AO13" s="19" t="s">
        <v>43</v>
      </c>
      <c r="AP13" s="11" t="s">
        <v>44</v>
      </c>
      <c r="AQ13" s="12" t="s">
        <v>18</v>
      </c>
      <c r="AS13" s="141" t="s">
        <v>41</v>
      </c>
      <c r="AT13" s="142" t="s">
        <v>42</v>
      </c>
      <c r="AU13" s="143" t="s">
        <v>18</v>
      </c>
    </row>
    <row r="14" spans="1:47" x14ac:dyDescent="0.25">
      <c r="A14" s="27" t="s">
        <v>45</v>
      </c>
      <c r="B14" s="232" t="s">
        <v>46</v>
      </c>
      <c r="C14" s="233"/>
      <c r="D14" s="234"/>
      <c r="E14" s="29">
        <f t="shared" ref="E14:T14" si="0">SUM(E15:E21)</f>
        <v>80</v>
      </c>
      <c r="F14" s="28">
        <f t="shared" si="0"/>
        <v>259</v>
      </c>
      <c r="G14" s="28">
        <f t="shared" si="0"/>
        <v>0</v>
      </c>
      <c r="H14" s="28">
        <f t="shared" si="0"/>
        <v>6</v>
      </c>
      <c r="I14" s="28">
        <f t="shared" si="0"/>
        <v>0</v>
      </c>
      <c r="J14" s="28"/>
      <c r="K14" s="28">
        <f t="shared" si="0"/>
        <v>345</v>
      </c>
      <c r="L14" s="28">
        <f t="shared" si="0"/>
        <v>38</v>
      </c>
      <c r="M14" s="28">
        <f t="shared" si="0"/>
        <v>52</v>
      </c>
      <c r="N14" s="28">
        <f t="shared" si="0"/>
        <v>133</v>
      </c>
      <c r="O14" s="28">
        <f t="shared" si="0"/>
        <v>30</v>
      </c>
      <c r="P14" s="28">
        <f t="shared" si="0"/>
        <v>253</v>
      </c>
      <c r="Q14" s="28">
        <f t="shared" si="0"/>
        <v>5.8</v>
      </c>
      <c r="R14" s="28">
        <f t="shared" si="0"/>
        <v>15.2</v>
      </c>
      <c r="S14" s="28">
        <f t="shared" si="0"/>
        <v>12.3</v>
      </c>
      <c r="T14" s="28">
        <f t="shared" si="0"/>
        <v>8.6999999999999993</v>
      </c>
      <c r="U14" s="28">
        <f>SUM(U15:U21)</f>
        <v>21</v>
      </c>
      <c r="V14" s="30"/>
      <c r="W14" s="27">
        <f t="shared" ref="W14:AQ14" si="1">SUM(W15:W21)</f>
        <v>90</v>
      </c>
      <c r="X14" s="28">
        <f t="shared" si="1"/>
        <v>55</v>
      </c>
      <c r="Y14" s="100">
        <f t="shared" si="1"/>
        <v>4</v>
      </c>
      <c r="Z14" s="27">
        <f t="shared" si="1"/>
        <v>90</v>
      </c>
      <c r="AA14" s="28">
        <f t="shared" si="1"/>
        <v>53</v>
      </c>
      <c r="AB14" s="100">
        <f t="shared" si="1"/>
        <v>4</v>
      </c>
      <c r="AC14" s="27">
        <f t="shared" si="1"/>
        <v>60</v>
      </c>
      <c r="AD14" s="28">
        <f t="shared" si="1"/>
        <v>63</v>
      </c>
      <c r="AE14" s="100">
        <f t="shared" si="1"/>
        <v>5</v>
      </c>
      <c r="AF14" s="29">
        <f t="shared" si="1"/>
        <v>30</v>
      </c>
      <c r="AG14" s="28">
        <f t="shared" si="1"/>
        <v>25</v>
      </c>
      <c r="AH14" s="107">
        <f t="shared" si="1"/>
        <v>2</v>
      </c>
      <c r="AI14" s="27">
        <f t="shared" si="1"/>
        <v>30</v>
      </c>
      <c r="AJ14" s="28">
        <f t="shared" si="1"/>
        <v>30</v>
      </c>
      <c r="AK14" s="100">
        <f t="shared" si="1"/>
        <v>3</v>
      </c>
      <c r="AL14" s="29">
        <f t="shared" si="1"/>
        <v>45</v>
      </c>
      <c r="AM14" s="28">
        <f t="shared" si="1"/>
        <v>27</v>
      </c>
      <c r="AN14" s="107">
        <f t="shared" si="1"/>
        <v>3</v>
      </c>
      <c r="AO14" s="27">
        <f t="shared" si="1"/>
        <v>0</v>
      </c>
      <c r="AP14" s="28">
        <f t="shared" si="1"/>
        <v>0</v>
      </c>
      <c r="AQ14" s="100">
        <f t="shared" si="1"/>
        <v>0</v>
      </c>
      <c r="AS14" s="144"/>
      <c r="AT14" s="145"/>
      <c r="AU14" s="146"/>
    </row>
    <row r="15" spans="1:47" x14ac:dyDescent="0.25">
      <c r="A15" s="5">
        <v>1</v>
      </c>
      <c r="B15" s="3" t="s">
        <v>47</v>
      </c>
      <c r="C15" s="3" t="s">
        <v>48</v>
      </c>
      <c r="D15" s="4" t="s">
        <v>49</v>
      </c>
      <c r="E15" s="14">
        <v>0</v>
      </c>
      <c r="F15" s="3">
        <v>150</v>
      </c>
      <c r="G15" s="3"/>
      <c r="H15" s="3"/>
      <c r="I15" s="3"/>
      <c r="J15" s="3"/>
      <c r="K15" s="2">
        <f t="shared" ref="K15:K21" si="2">SUM(E15:J15)</f>
        <v>150</v>
      </c>
      <c r="L15" s="3">
        <f t="shared" ref="L15:L20" si="3">ROUND(K15*0.1,0)</f>
        <v>15</v>
      </c>
      <c r="M15" s="3">
        <f>ROUND((E15/K15)*K15*0.4,0)</f>
        <v>0</v>
      </c>
      <c r="N15" s="3">
        <f t="shared" ref="N15:N21" si="4">ROUND(((F15+G15+H15+I15)/K15)*K15*0.5,0)</f>
        <v>75</v>
      </c>
      <c r="O15" s="3">
        <f t="shared" ref="O15:O21" si="5">IF(V15="E",ROUND(K15*0.2,0),0)</f>
        <v>30</v>
      </c>
      <c r="P15" s="2">
        <f t="shared" ref="P15:P21" si="6">SUM(L15:O15)</f>
        <v>120</v>
      </c>
      <c r="Q15" s="3">
        <f t="shared" ref="Q15:Q21" si="7">ROUND(U15*(E15+M15)/(K15+P15),1)</f>
        <v>0</v>
      </c>
      <c r="R15" s="3">
        <f t="shared" ref="R15:R21" si="8">U15-Q15</f>
        <v>11</v>
      </c>
      <c r="S15" s="3">
        <f>U15-T15</f>
        <v>6.2</v>
      </c>
      <c r="T15" s="3">
        <f>ROUND((P15)/25,1)</f>
        <v>4.8</v>
      </c>
      <c r="U15" s="3">
        <f>ROUND(K15/25+P15/25,0)</f>
        <v>11</v>
      </c>
      <c r="V15" s="16" t="s">
        <v>38</v>
      </c>
      <c r="W15" s="5">
        <v>30</v>
      </c>
      <c r="X15" s="3">
        <v>20</v>
      </c>
      <c r="Y15" s="4">
        <v>2</v>
      </c>
      <c r="Z15" s="5">
        <v>30</v>
      </c>
      <c r="AA15" s="3">
        <v>20</v>
      </c>
      <c r="AB15" s="4">
        <v>2</v>
      </c>
      <c r="AC15" s="5">
        <v>30</v>
      </c>
      <c r="AD15" s="3">
        <v>25</v>
      </c>
      <c r="AE15" s="4">
        <v>2</v>
      </c>
      <c r="AF15" s="14">
        <v>30</v>
      </c>
      <c r="AG15" s="3">
        <v>25</v>
      </c>
      <c r="AH15" s="16">
        <v>2</v>
      </c>
      <c r="AI15" s="5">
        <v>30</v>
      </c>
      <c r="AJ15" s="3">
        <v>30</v>
      </c>
      <c r="AK15" s="4">
        <v>3</v>
      </c>
      <c r="AL15" s="14"/>
      <c r="AM15" s="3"/>
      <c r="AN15" s="16"/>
      <c r="AO15" s="5"/>
      <c r="AP15" s="3"/>
      <c r="AQ15" s="4"/>
      <c r="AS15" s="139" t="str">
        <f t="shared" ref="AS15:AS21" si="9">IF(K15=W15+Z15+AC15+AF15+AI15+AL15+AO15,"OK","BŁĄD")</f>
        <v>OK</v>
      </c>
      <c r="AT15" s="138" t="str">
        <f t="shared" ref="AT15:AT21" si="10">IF(P15=X15+AA15+AD15+AG15+AJ15+AM15+AP15,"OK","BŁĄD")</f>
        <v>OK</v>
      </c>
      <c r="AU15" s="140" t="str">
        <f t="shared" ref="AU15:AU21" si="11">IF(U15=Y15+AB15+AE15+AH15+AK15+AN15+AQ15,"OK","BŁĄD")</f>
        <v>OK</v>
      </c>
    </row>
    <row r="16" spans="1:47" x14ac:dyDescent="0.25">
      <c r="A16" s="5">
        <v>2</v>
      </c>
      <c r="B16" s="3" t="s">
        <v>50</v>
      </c>
      <c r="C16" s="3" t="s">
        <v>51</v>
      </c>
      <c r="D16" s="4" t="s">
        <v>49</v>
      </c>
      <c r="E16" s="14"/>
      <c r="F16" s="3">
        <v>30</v>
      </c>
      <c r="G16" s="3"/>
      <c r="H16" s="3"/>
      <c r="I16" s="3"/>
      <c r="J16" s="3"/>
      <c r="K16" s="2">
        <f t="shared" si="2"/>
        <v>30</v>
      </c>
      <c r="L16" s="3">
        <f t="shared" si="3"/>
        <v>3</v>
      </c>
      <c r="M16" s="3">
        <f t="shared" ref="M16:M20" si="12">ROUND((E16/K16)*K16*0.4,0)</f>
        <v>0</v>
      </c>
      <c r="N16" s="3">
        <f t="shared" si="4"/>
        <v>15</v>
      </c>
      <c r="O16" s="3">
        <f t="shared" si="5"/>
        <v>0</v>
      </c>
      <c r="P16" s="2">
        <f t="shared" si="6"/>
        <v>18</v>
      </c>
      <c r="Q16" s="3">
        <f t="shared" si="7"/>
        <v>0</v>
      </c>
      <c r="R16" s="3">
        <f t="shared" si="8"/>
        <v>2</v>
      </c>
      <c r="S16" s="3">
        <f>U16-T16</f>
        <v>1.3</v>
      </c>
      <c r="T16" s="3">
        <f>ROUND((P16)/25,1)</f>
        <v>0.7</v>
      </c>
      <c r="U16" s="3">
        <f t="shared" ref="U16:U20" si="13">ROUND(K16/25+P16/25,0)</f>
        <v>2</v>
      </c>
      <c r="V16" s="16"/>
      <c r="W16" s="5"/>
      <c r="X16" s="3"/>
      <c r="Y16" s="4"/>
      <c r="Z16" s="5"/>
      <c r="AA16" s="3"/>
      <c r="AB16" s="4"/>
      <c r="AC16" s="5"/>
      <c r="AD16" s="3"/>
      <c r="AE16" s="4"/>
      <c r="AF16" s="14"/>
      <c r="AG16" s="3"/>
      <c r="AH16" s="16"/>
      <c r="AI16" s="5"/>
      <c r="AJ16" s="3"/>
      <c r="AK16" s="4"/>
      <c r="AL16" s="14">
        <v>30</v>
      </c>
      <c r="AM16" s="3">
        <v>18</v>
      </c>
      <c r="AN16" s="16">
        <v>2</v>
      </c>
      <c r="AO16" s="5"/>
      <c r="AP16" s="3"/>
      <c r="AQ16" s="4"/>
      <c r="AS16" s="139" t="str">
        <f t="shared" si="9"/>
        <v>OK</v>
      </c>
      <c r="AT16" s="138" t="str">
        <f t="shared" si="10"/>
        <v>OK</v>
      </c>
      <c r="AU16" s="140" t="str">
        <f t="shared" si="11"/>
        <v>OK</v>
      </c>
    </row>
    <row r="17" spans="1:47" x14ac:dyDescent="0.25">
      <c r="A17" s="5">
        <v>3</v>
      </c>
      <c r="B17" s="3" t="s">
        <v>52</v>
      </c>
      <c r="C17" s="3" t="s">
        <v>53</v>
      </c>
      <c r="D17" s="4" t="s">
        <v>54</v>
      </c>
      <c r="E17" s="14"/>
      <c r="F17" s="3">
        <v>60</v>
      </c>
      <c r="G17" s="3"/>
      <c r="H17" s="3"/>
      <c r="I17" s="3"/>
      <c r="J17" s="3"/>
      <c r="K17" s="2">
        <f t="shared" si="2"/>
        <v>60</v>
      </c>
      <c r="L17" s="3">
        <f t="shared" si="3"/>
        <v>6</v>
      </c>
      <c r="M17" s="3">
        <f t="shared" si="12"/>
        <v>0</v>
      </c>
      <c r="N17" s="3">
        <f t="shared" si="4"/>
        <v>30</v>
      </c>
      <c r="O17" s="3">
        <f t="shared" si="5"/>
        <v>0</v>
      </c>
      <c r="P17" s="2">
        <f t="shared" si="6"/>
        <v>36</v>
      </c>
      <c r="Q17" s="3">
        <f t="shared" si="7"/>
        <v>0</v>
      </c>
      <c r="R17" s="3">
        <f t="shared" si="8"/>
        <v>0</v>
      </c>
      <c r="S17" s="3">
        <v>0</v>
      </c>
      <c r="T17" s="3">
        <v>0</v>
      </c>
      <c r="U17" s="3">
        <v>0</v>
      </c>
      <c r="V17" s="16"/>
      <c r="W17" s="5">
        <v>30</v>
      </c>
      <c r="X17" s="3">
        <v>18</v>
      </c>
      <c r="Y17" s="4">
        <v>0</v>
      </c>
      <c r="Z17" s="5">
        <v>30</v>
      </c>
      <c r="AA17" s="3">
        <v>18</v>
      </c>
      <c r="AB17" s="4">
        <v>0</v>
      </c>
      <c r="AC17" s="5"/>
      <c r="AD17" s="3"/>
      <c r="AE17" s="4"/>
      <c r="AF17" s="14"/>
      <c r="AG17" s="3"/>
      <c r="AH17" s="16"/>
      <c r="AI17" s="5"/>
      <c r="AJ17" s="3"/>
      <c r="AK17" s="4"/>
      <c r="AL17" s="14"/>
      <c r="AM17" s="3"/>
      <c r="AN17" s="16"/>
      <c r="AO17" s="5"/>
      <c r="AP17" s="3"/>
      <c r="AQ17" s="4"/>
      <c r="AS17" s="139" t="str">
        <f t="shared" si="9"/>
        <v>OK</v>
      </c>
      <c r="AT17" s="138" t="str">
        <f t="shared" si="10"/>
        <v>OK</v>
      </c>
      <c r="AU17" s="140" t="str">
        <f t="shared" si="11"/>
        <v>OK</v>
      </c>
    </row>
    <row r="18" spans="1:47" x14ac:dyDescent="0.25">
      <c r="A18" s="5">
        <v>4</v>
      </c>
      <c r="B18" s="3" t="s">
        <v>55</v>
      </c>
      <c r="C18" s="3" t="s">
        <v>56</v>
      </c>
      <c r="D18" s="4" t="s">
        <v>57</v>
      </c>
      <c r="E18" s="14">
        <v>15</v>
      </c>
      <c r="F18" s="3">
        <v>15</v>
      </c>
      <c r="G18" s="3"/>
      <c r="H18" s="3"/>
      <c r="I18" s="3"/>
      <c r="J18" s="3"/>
      <c r="K18" s="2">
        <f t="shared" si="2"/>
        <v>30</v>
      </c>
      <c r="L18" s="3">
        <f t="shared" si="3"/>
        <v>3</v>
      </c>
      <c r="M18" s="3">
        <f>ROUND((E18/K18)*K18*0.4,0)</f>
        <v>6</v>
      </c>
      <c r="N18" s="3">
        <f t="shared" si="4"/>
        <v>8</v>
      </c>
      <c r="O18" s="3">
        <f t="shared" si="5"/>
        <v>0</v>
      </c>
      <c r="P18" s="2">
        <f t="shared" si="6"/>
        <v>17</v>
      </c>
      <c r="Q18" s="3">
        <f t="shared" si="7"/>
        <v>0.9</v>
      </c>
      <c r="R18" s="3">
        <f t="shared" si="8"/>
        <v>1.1000000000000001</v>
      </c>
      <c r="S18" s="3">
        <f>U18-T18</f>
        <v>1.3</v>
      </c>
      <c r="T18" s="3">
        <f>ROUND((P18)/25,1)</f>
        <v>0.7</v>
      </c>
      <c r="U18" s="3">
        <f>ROUND(K18/25+P18/25,0)</f>
        <v>2</v>
      </c>
      <c r="V18" s="16"/>
      <c r="W18" s="5">
        <v>30</v>
      </c>
      <c r="X18" s="3">
        <v>17</v>
      </c>
      <c r="Y18" s="4">
        <v>2</v>
      </c>
      <c r="Z18" s="5"/>
      <c r="AA18" s="3"/>
      <c r="AB18" s="4"/>
      <c r="AC18" s="5"/>
      <c r="AD18" s="3"/>
      <c r="AE18" s="4"/>
      <c r="AF18" s="14"/>
      <c r="AG18" s="3"/>
      <c r="AH18" s="16"/>
      <c r="AI18" s="5"/>
      <c r="AJ18" s="3"/>
      <c r="AK18" s="4"/>
      <c r="AL18" s="14"/>
      <c r="AM18" s="3"/>
      <c r="AN18" s="16"/>
      <c r="AO18" s="5"/>
      <c r="AP18" s="3"/>
      <c r="AQ18" s="4"/>
      <c r="AS18" s="139" t="str">
        <f t="shared" si="9"/>
        <v>OK</v>
      </c>
      <c r="AT18" s="138" t="str">
        <f t="shared" si="10"/>
        <v>OK</v>
      </c>
      <c r="AU18" s="140" t="str">
        <f t="shared" si="11"/>
        <v>OK</v>
      </c>
    </row>
    <row r="19" spans="1:47" x14ac:dyDescent="0.25">
      <c r="A19" s="5">
        <v>5</v>
      </c>
      <c r="B19" s="3" t="s">
        <v>58</v>
      </c>
      <c r="C19" s="3" t="s">
        <v>59</v>
      </c>
      <c r="D19" s="4" t="s">
        <v>60</v>
      </c>
      <c r="E19" s="14">
        <v>5</v>
      </c>
      <c r="F19" s="3">
        <v>4</v>
      </c>
      <c r="G19" s="3"/>
      <c r="H19" s="3">
        <v>6</v>
      </c>
      <c r="I19" s="3"/>
      <c r="J19" s="3"/>
      <c r="K19" s="2">
        <f t="shared" si="2"/>
        <v>15</v>
      </c>
      <c r="L19" s="3">
        <f t="shared" si="3"/>
        <v>2</v>
      </c>
      <c r="M19" s="3">
        <f t="shared" si="12"/>
        <v>2</v>
      </c>
      <c r="N19" s="3">
        <f t="shared" si="4"/>
        <v>5</v>
      </c>
      <c r="O19" s="3">
        <f t="shared" si="5"/>
        <v>0</v>
      </c>
      <c r="P19" s="2">
        <f t="shared" si="6"/>
        <v>9</v>
      </c>
      <c r="Q19" s="3">
        <f t="shared" si="7"/>
        <v>0.3</v>
      </c>
      <c r="R19" s="3">
        <f t="shared" si="8"/>
        <v>0.7</v>
      </c>
      <c r="S19" s="3">
        <f>U19-T19</f>
        <v>0.6</v>
      </c>
      <c r="T19" s="3">
        <f>ROUND((P19)/25,1)</f>
        <v>0.4</v>
      </c>
      <c r="U19" s="3">
        <f t="shared" si="13"/>
        <v>1</v>
      </c>
      <c r="V19" s="16"/>
      <c r="W19" s="5"/>
      <c r="X19" s="3"/>
      <c r="Y19" s="4"/>
      <c r="Z19" s="5"/>
      <c r="AA19" s="3"/>
      <c r="AB19" s="4"/>
      <c r="AC19" s="5"/>
      <c r="AD19" s="3"/>
      <c r="AE19" s="4"/>
      <c r="AF19" s="14"/>
      <c r="AG19" s="3"/>
      <c r="AH19" s="16"/>
      <c r="AI19" s="5"/>
      <c r="AJ19" s="3"/>
      <c r="AK19" s="4"/>
      <c r="AL19" s="14">
        <v>15</v>
      </c>
      <c r="AM19" s="3">
        <v>9</v>
      </c>
      <c r="AN19" s="16">
        <v>1</v>
      </c>
      <c r="AO19" s="5"/>
      <c r="AP19" s="3"/>
      <c r="AQ19" s="4"/>
      <c r="AS19" s="139" t="str">
        <f t="shared" si="9"/>
        <v>OK</v>
      </c>
      <c r="AT19" s="138" t="str">
        <f t="shared" si="10"/>
        <v>OK</v>
      </c>
      <c r="AU19" s="140" t="str">
        <f t="shared" si="11"/>
        <v>OK</v>
      </c>
    </row>
    <row r="20" spans="1:47" x14ac:dyDescent="0.25">
      <c r="A20" s="5">
        <v>6</v>
      </c>
      <c r="B20" s="3" t="s">
        <v>61</v>
      </c>
      <c r="C20" s="3" t="s">
        <v>62</v>
      </c>
      <c r="D20" s="4" t="s">
        <v>57</v>
      </c>
      <c r="E20" s="14">
        <v>30</v>
      </c>
      <c r="F20" s="3"/>
      <c r="G20" s="3"/>
      <c r="H20" s="3"/>
      <c r="I20" s="3"/>
      <c r="J20" s="3"/>
      <c r="K20" s="2">
        <f t="shared" si="2"/>
        <v>30</v>
      </c>
      <c r="L20" s="3">
        <f t="shared" si="3"/>
        <v>3</v>
      </c>
      <c r="M20" s="3">
        <f t="shared" si="12"/>
        <v>12</v>
      </c>
      <c r="N20" s="3">
        <f t="shared" si="4"/>
        <v>0</v>
      </c>
      <c r="O20" s="3">
        <f t="shared" si="5"/>
        <v>0</v>
      </c>
      <c r="P20" s="2">
        <f t="shared" si="6"/>
        <v>15</v>
      </c>
      <c r="Q20" s="3">
        <f t="shared" si="7"/>
        <v>1.9</v>
      </c>
      <c r="R20" s="3">
        <f t="shared" si="8"/>
        <v>0.10000000000000009</v>
      </c>
      <c r="S20" s="3">
        <f>U20-T20</f>
        <v>1.4</v>
      </c>
      <c r="T20" s="3">
        <f>ROUND((P20)/25,1)</f>
        <v>0.6</v>
      </c>
      <c r="U20" s="3">
        <f t="shared" si="13"/>
        <v>2</v>
      </c>
      <c r="V20" s="16"/>
      <c r="W20" s="5"/>
      <c r="X20" s="3"/>
      <c r="Y20" s="4"/>
      <c r="Z20" s="5">
        <v>30</v>
      </c>
      <c r="AA20" s="3">
        <v>15</v>
      </c>
      <c r="AB20" s="4">
        <v>2</v>
      </c>
      <c r="AC20" s="5"/>
      <c r="AD20" s="3"/>
      <c r="AE20" s="4"/>
      <c r="AF20" s="14"/>
      <c r="AG20" s="3"/>
      <c r="AH20" s="16"/>
      <c r="AI20" s="5"/>
      <c r="AJ20" s="3"/>
      <c r="AK20" s="4"/>
      <c r="AL20" s="14"/>
      <c r="AM20" s="3"/>
      <c r="AN20" s="16"/>
      <c r="AO20" s="5"/>
      <c r="AP20" s="3"/>
      <c r="AQ20" s="4"/>
      <c r="AS20" s="139" t="str">
        <f t="shared" si="9"/>
        <v>OK</v>
      </c>
      <c r="AT20" s="138" t="str">
        <f t="shared" si="10"/>
        <v>OK</v>
      </c>
      <c r="AU20" s="140" t="str">
        <f t="shared" si="11"/>
        <v>OK</v>
      </c>
    </row>
    <row r="21" spans="1:47" ht="15.75" thickBot="1" x14ac:dyDescent="0.3">
      <c r="A21" s="5">
        <v>7</v>
      </c>
      <c r="B21" s="3" t="s">
        <v>63</v>
      </c>
      <c r="C21" s="3" t="s">
        <v>64</v>
      </c>
      <c r="D21" s="4" t="s">
        <v>57</v>
      </c>
      <c r="E21" s="14">
        <v>30</v>
      </c>
      <c r="F21" s="3"/>
      <c r="G21" s="3"/>
      <c r="H21" s="3"/>
      <c r="I21" s="3"/>
      <c r="J21" s="3"/>
      <c r="K21" s="2">
        <f t="shared" si="2"/>
        <v>30</v>
      </c>
      <c r="L21" s="3">
        <f>ROUND(K21*0.1,0)+3</f>
        <v>6</v>
      </c>
      <c r="M21" s="3">
        <f>ROUND((E21/K21)*K21*0.4,0)+20</f>
        <v>32</v>
      </c>
      <c r="N21" s="3">
        <f t="shared" si="4"/>
        <v>0</v>
      </c>
      <c r="O21" s="3">
        <f t="shared" si="5"/>
        <v>0</v>
      </c>
      <c r="P21" s="2">
        <f t="shared" si="6"/>
        <v>38</v>
      </c>
      <c r="Q21" s="3">
        <f t="shared" si="7"/>
        <v>2.7</v>
      </c>
      <c r="R21" s="3">
        <f t="shared" si="8"/>
        <v>0.29999999999999982</v>
      </c>
      <c r="S21" s="3">
        <f>U21-T21</f>
        <v>1.5</v>
      </c>
      <c r="T21" s="3">
        <f>ROUND((P21)/25,1)</f>
        <v>1.5</v>
      </c>
      <c r="U21" s="3">
        <f>ROUND(K21/25+P21/25,0)</f>
        <v>3</v>
      </c>
      <c r="V21" s="16"/>
      <c r="W21" s="5"/>
      <c r="X21" s="3"/>
      <c r="Y21" s="4"/>
      <c r="Z21" s="5"/>
      <c r="AA21" s="3"/>
      <c r="AB21" s="4"/>
      <c r="AC21" s="5">
        <v>30</v>
      </c>
      <c r="AD21" s="3">
        <v>38</v>
      </c>
      <c r="AE21" s="4">
        <v>3</v>
      </c>
      <c r="AF21" s="14"/>
      <c r="AG21" s="3"/>
      <c r="AH21" s="16"/>
      <c r="AI21" s="5"/>
      <c r="AJ21" s="3"/>
      <c r="AK21" s="4"/>
      <c r="AL21" s="14"/>
      <c r="AM21" s="3"/>
      <c r="AN21" s="16"/>
      <c r="AO21" s="5"/>
      <c r="AP21" s="3"/>
      <c r="AQ21" s="4"/>
      <c r="AS21" s="139" t="str">
        <f t="shared" si="9"/>
        <v>OK</v>
      </c>
      <c r="AT21" s="138" t="str">
        <f t="shared" si="10"/>
        <v>OK</v>
      </c>
      <c r="AU21" s="140" t="str">
        <f t="shared" si="11"/>
        <v>OK</v>
      </c>
    </row>
    <row r="22" spans="1:47" x14ac:dyDescent="0.25">
      <c r="A22" s="31" t="s">
        <v>65</v>
      </c>
      <c r="B22" s="232" t="s">
        <v>66</v>
      </c>
      <c r="C22" s="233"/>
      <c r="D22" s="234"/>
      <c r="E22" s="33">
        <f t="shared" ref="E22:K22" si="14">SUM(E23:E31)</f>
        <v>155</v>
      </c>
      <c r="F22" s="32">
        <f t="shared" si="14"/>
        <v>155</v>
      </c>
      <c r="G22" s="32">
        <f t="shared" si="14"/>
        <v>95</v>
      </c>
      <c r="H22" s="32">
        <f t="shared" si="14"/>
        <v>0</v>
      </c>
      <c r="I22" s="32">
        <f t="shared" si="14"/>
        <v>0</v>
      </c>
      <c r="J22" s="32"/>
      <c r="K22" s="32">
        <f t="shared" si="14"/>
        <v>405</v>
      </c>
      <c r="L22" s="32">
        <f t="shared" ref="L22:O22" si="15">SUM(L23:L31)</f>
        <v>43</v>
      </c>
      <c r="M22" s="32">
        <f t="shared" si="15"/>
        <v>100</v>
      </c>
      <c r="N22" s="32">
        <f t="shared" si="15"/>
        <v>200</v>
      </c>
      <c r="O22" s="32">
        <f>SUM(O23:O31)</f>
        <v>39</v>
      </c>
      <c r="P22" s="32">
        <f>SUM(P23:P31)</f>
        <v>382</v>
      </c>
      <c r="Q22" s="32">
        <f t="shared" ref="Q22:AQ22" si="16">SUM(Q23:Q31)</f>
        <v>10.4</v>
      </c>
      <c r="R22" s="32">
        <f t="shared" si="16"/>
        <v>21.6</v>
      </c>
      <c r="S22" s="32">
        <f t="shared" si="16"/>
        <v>16.799999999999997</v>
      </c>
      <c r="T22" s="32">
        <f t="shared" si="16"/>
        <v>15.200000000000003</v>
      </c>
      <c r="U22" s="32">
        <f>SUM(U23:U31)</f>
        <v>32</v>
      </c>
      <c r="V22" s="34"/>
      <c r="W22" s="31">
        <f t="shared" si="16"/>
        <v>180</v>
      </c>
      <c r="X22" s="32">
        <f t="shared" si="16"/>
        <v>210</v>
      </c>
      <c r="Y22" s="101">
        <f t="shared" si="16"/>
        <v>16</v>
      </c>
      <c r="Z22" s="31">
        <f t="shared" si="16"/>
        <v>105</v>
      </c>
      <c r="AA22" s="32">
        <f t="shared" si="16"/>
        <v>90</v>
      </c>
      <c r="AB22" s="101">
        <f t="shared" si="16"/>
        <v>8</v>
      </c>
      <c r="AC22" s="31">
        <f t="shared" si="16"/>
        <v>75</v>
      </c>
      <c r="AD22" s="32">
        <f t="shared" si="16"/>
        <v>51</v>
      </c>
      <c r="AE22" s="101">
        <f t="shared" si="16"/>
        <v>5</v>
      </c>
      <c r="AF22" s="33">
        <f t="shared" si="16"/>
        <v>45</v>
      </c>
      <c r="AG22" s="32">
        <f t="shared" si="16"/>
        <v>31</v>
      </c>
      <c r="AH22" s="108">
        <f t="shared" si="16"/>
        <v>3</v>
      </c>
      <c r="AI22" s="31">
        <f t="shared" si="16"/>
        <v>0</v>
      </c>
      <c r="AJ22" s="32">
        <f t="shared" si="16"/>
        <v>0</v>
      </c>
      <c r="AK22" s="101">
        <f t="shared" si="16"/>
        <v>0</v>
      </c>
      <c r="AL22" s="33">
        <f t="shared" si="16"/>
        <v>0</v>
      </c>
      <c r="AM22" s="32">
        <f t="shared" si="16"/>
        <v>0</v>
      </c>
      <c r="AN22" s="108">
        <f t="shared" si="16"/>
        <v>0</v>
      </c>
      <c r="AO22" s="31">
        <f t="shared" si="16"/>
        <v>0</v>
      </c>
      <c r="AP22" s="32">
        <f t="shared" si="16"/>
        <v>0</v>
      </c>
      <c r="AQ22" s="101">
        <f t="shared" si="16"/>
        <v>0</v>
      </c>
      <c r="AS22" s="147"/>
      <c r="AT22" s="148"/>
      <c r="AU22" s="149"/>
    </row>
    <row r="23" spans="1:47" x14ac:dyDescent="0.25">
      <c r="A23" s="5">
        <v>1</v>
      </c>
      <c r="B23" s="89" t="s">
        <v>67</v>
      </c>
      <c r="C23" s="89" t="s">
        <v>68</v>
      </c>
      <c r="D23" s="90" t="s">
        <v>69</v>
      </c>
      <c r="E23" s="14">
        <v>30</v>
      </c>
      <c r="F23" s="3">
        <v>45</v>
      </c>
      <c r="G23" s="3"/>
      <c r="H23" s="3"/>
      <c r="I23" s="3"/>
      <c r="J23" s="3"/>
      <c r="K23" s="2">
        <f t="shared" ref="K23:K31" si="17">SUM(E23:J23)</f>
        <v>75</v>
      </c>
      <c r="L23" s="3">
        <f t="shared" ref="L23:L31" si="18">ROUND(K23*0.1,0)</f>
        <v>8</v>
      </c>
      <c r="M23" s="3">
        <f>ROUND((E23/K23)*K23*0.5,0)+10</f>
        <v>25</v>
      </c>
      <c r="N23" s="3">
        <f>ROUND(((F23+G23+H23+I23)/K23)*K23*0.6,0)+20</f>
        <v>47</v>
      </c>
      <c r="O23" s="3">
        <f t="shared" ref="O23:O31" si="19">IF(V23="E",ROUND(K23*0.2,0),0)</f>
        <v>15</v>
      </c>
      <c r="P23" s="2">
        <f t="shared" ref="P23:P31" si="20">SUM(L23:O23)</f>
        <v>95</v>
      </c>
      <c r="Q23" s="3">
        <f t="shared" ref="Q23:Q31" si="21">ROUND(U23*(E23+M23)/(K23+P23),1)</f>
        <v>2.2999999999999998</v>
      </c>
      <c r="R23" s="3">
        <f t="shared" ref="R23:R31" si="22">U23-Q23</f>
        <v>4.7</v>
      </c>
      <c r="S23" s="3">
        <f t="shared" ref="S23:S31" si="23">U23-T23</f>
        <v>3.2</v>
      </c>
      <c r="T23" s="3">
        <f t="shared" ref="T23:T31" si="24">ROUND((P23)/25,1)</f>
        <v>3.8</v>
      </c>
      <c r="U23" s="3">
        <f>ROUND(K23/25+P23/25,0)</f>
        <v>7</v>
      </c>
      <c r="V23" s="16" t="s">
        <v>38</v>
      </c>
      <c r="W23" s="5">
        <v>75</v>
      </c>
      <c r="X23" s="3">
        <v>95</v>
      </c>
      <c r="Y23" s="4">
        <v>7</v>
      </c>
      <c r="Z23" s="5"/>
      <c r="AA23" s="3"/>
      <c r="AB23" s="4"/>
      <c r="AC23" s="5"/>
      <c r="AD23" s="3"/>
      <c r="AE23" s="4"/>
      <c r="AF23" s="14"/>
      <c r="AG23" s="3"/>
      <c r="AH23" s="16"/>
      <c r="AI23" s="5"/>
      <c r="AJ23" s="3"/>
      <c r="AK23" s="4"/>
      <c r="AL23" s="14"/>
      <c r="AM23" s="3"/>
      <c r="AN23" s="16"/>
      <c r="AO23" s="5"/>
      <c r="AP23" s="3"/>
      <c r="AQ23" s="4"/>
      <c r="AS23" s="139" t="str">
        <f t="shared" ref="AS23:AS31" si="25">IF(K23=W23+Z23+AC23+AF23+AI23+AL23+AO23,"OK","BŁĄD")</f>
        <v>OK</v>
      </c>
      <c r="AT23" s="138" t="str">
        <f t="shared" ref="AT23:AT31" si="26">IF(P23=X23+AA23+AD23+AG23+AJ23+AM23+AP23,"OK","BŁĄD")</f>
        <v>OK</v>
      </c>
      <c r="AU23" s="140" t="str">
        <f t="shared" ref="AU23:AU31" si="27">IF(U23=Y23+AB23+AE23+AH23+AK23+AN23+AQ23,"OK","BŁĄD")</f>
        <v>OK</v>
      </c>
    </row>
    <row r="24" spans="1:47" x14ac:dyDescent="0.25">
      <c r="A24" s="5">
        <v>2</v>
      </c>
      <c r="B24" s="89" t="s">
        <v>70</v>
      </c>
      <c r="C24" s="89" t="s">
        <v>71</v>
      </c>
      <c r="D24" s="90" t="s">
        <v>72</v>
      </c>
      <c r="E24" s="14">
        <v>15</v>
      </c>
      <c r="F24" s="3">
        <v>30</v>
      </c>
      <c r="G24" s="3"/>
      <c r="H24" s="3"/>
      <c r="I24" s="3"/>
      <c r="J24" s="3"/>
      <c r="K24" s="2">
        <f t="shared" si="17"/>
        <v>45</v>
      </c>
      <c r="L24" s="3">
        <f t="shared" si="18"/>
        <v>5</v>
      </c>
      <c r="M24" s="3">
        <f t="shared" ref="M24:M31" si="28">ROUND((E24/K24)*K24*0.5,0)</f>
        <v>8</v>
      </c>
      <c r="N24" s="3">
        <f>ROUND(((F24+G24+H24+I24)/K24)*K24*0.6,0)+10</f>
        <v>28</v>
      </c>
      <c r="O24" s="3">
        <f t="shared" si="19"/>
        <v>9</v>
      </c>
      <c r="P24" s="2">
        <f t="shared" si="20"/>
        <v>50</v>
      </c>
      <c r="Q24" s="3">
        <f t="shared" si="21"/>
        <v>1</v>
      </c>
      <c r="R24" s="3">
        <f t="shared" si="22"/>
        <v>3</v>
      </c>
      <c r="S24" s="3">
        <f t="shared" si="23"/>
        <v>2</v>
      </c>
      <c r="T24" s="3">
        <f t="shared" si="24"/>
        <v>2</v>
      </c>
      <c r="U24" s="3">
        <f t="shared" ref="U24:U31" si="29">ROUND(K24/25+P24/25,0)</f>
        <v>4</v>
      </c>
      <c r="V24" s="16" t="s">
        <v>38</v>
      </c>
      <c r="W24" s="5"/>
      <c r="X24" s="3"/>
      <c r="Y24" s="4"/>
      <c r="Z24" s="5">
        <v>45</v>
      </c>
      <c r="AA24" s="3">
        <v>50</v>
      </c>
      <c r="AB24" s="4">
        <v>4</v>
      </c>
      <c r="AC24" s="5"/>
      <c r="AD24" s="3"/>
      <c r="AE24" s="4"/>
      <c r="AF24" s="14"/>
      <c r="AG24" s="3"/>
      <c r="AH24" s="16"/>
      <c r="AI24" s="5"/>
      <c r="AJ24" s="3"/>
      <c r="AK24" s="4"/>
      <c r="AL24" s="14"/>
      <c r="AM24" s="3"/>
      <c r="AN24" s="16"/>
      <c r="AO24" s="5"/>
      <c r="AP24" s="3"/>
      <c r="AQ24" s="4"/>
      <c r="AS24" s="139" t="str">
        <f t="shared" si="25"/>
        <v>OK</v>
      </c>
      <c r="AT24" s="138" t="str">
        <f t="shared" si="26"/>
        <v>OK</v>
      </c>
      <c r="AU24" s="140" t="str">
        <f t="shared" si="27"/>
        <v>OK</v>
      </c>
    </row>
    <row r="25" spans="1:47" x14ac:dyDescent="0.25">
      <c r="A25" s="5">
        <v>3</v>
      </c>
      <c r="B25" s="89" t="s">
        <v>73</v>
      </c>
      <c r="C25" s="89" t="s">
        <v>74</v>
      </c>
      <c r="D25" s="90" t="s">
        <v>75</v>
      </c>
      <c r="E25" s="14">
        <v>15</v>
      </c>
      <c r="F25" s="3">
        <v>30</v>
      </c>
      <c r="G25" s="3"/>
      <c r="H25" s="3"/>
      <c r="I25" s="3"/>
      <c r="J25" s="3"/>
      <c r="K25" s="2">
        <f t="shared" si="17"/>
        <v>45</v>
      </c>
      <c r="L25" s="3">
        <f t="shared" si="18"/>
        <v>5</v>
      </c>
      <c r="M25" s="3">
        <f t="shared" si="28"/>
        <v>8</v>
      </c>
      <c r="N25" s="3">
        <f>ROUND(((F25+G25+H25+I25)/K25)*K25*0.6,0)</f>
        <v>18</v>
      </c>
      <c r="O25" s="3">
        <f t="shared" si="19"/>
        <v>0</v>
      </c>
      <c r="P25" s="2">
        <f t="shared" si="20"/>
        <v>31</v>
      </c>
      <c r="Q25" s="3">
        <f t="shared" si="21"/>
        <v>0.9</v>
      </c>
      <c r="R25" s="3">
        <f t="shared" si="22"/>
        <v>2.1</v>
      </c>
      <c r="S25" s="3">
        <f t="shared" si="23"/>
        <v>1.8</v>
      </c>
      <c r="T25" s="3">
        <f t="shared" si="24"/>
        <v>1.2</v>
      </c>
      <c r="U25" s="3">
        <f t="shared" si="29"/>
        <v>3</v>
      </c>
      <c r="V25" s="16"/>
      <c r="W25" s="5"/>
      <c r="X25" s="3"/>
      <c r="Y25" s="4"/>
      <c r="Z25" s="5"/>
      <c r="AA25" s="3"/>
      <c r="AB25" s="4"/>
      <c r="AC25" s="5">
        <v>45</v>
      </c>
      <c r="AD25" s="3">
        <v>31</v>
      </c>
      <c r="AE25" s="4">
        <v>3</v>
      </c>
      <c r="AF25" s="14"/>
      <c r="AG25" s="3"/>
      <c r="AH25" s="16"/>
      <c r="AI25" s="5"/>
      <c r="AJ25" s="3"/>
      <c r="AK25" s="4"/>
      <c r="AL25" s="14"/>
      <c r="AM25" s="3"/>
      <c r="AN25" s="16"/>
      <c r="AO25" s="5"/>
      <c r="AP25" s="3"/>
      <c r="AQ25" s="4"/>
      <c r="AS25" s="139" t="str">
        <f t="shared" si="25"/>
        <v>OK</v>
      </c>
      <c r="AT25" s="138" t="str">
        <f t="shared" si="26"/>
        <v>OK</v>
      </c>
      <c r="AU25" s="140" t="str">
        <f t="shared" si="27"/>
        <v>OK</v>
      </c>
    </row>
    <row r="26" spans="1:47" x14ac:dyDescent="0.25">
      <c r="A26" s="5">
        <v>4</v>
      </c>
      <c r="B26" s="89" t="s">
        <v>76</v>
      </c>
      <c r="C26" s="89" t="s">
        <v>77</v>
      </c>
      <c r="D26" s="90" t="s">
        <v>75</v>
      </c>
      <c r="E26" s="14">
        <v>15</v>
      </c>
      <c r="F26" s="3">
        <v>30</v>
      </c>
      <c r="G26" s="3"/>
      <c r="H26" s="3"/>
      <c r="I26" s="3"/>
      <c r="J26" s="3"/>
      <c r="K26" s="2">
        <f t="shared" si="17"/>
        <v>45</v>
      </c>
      <c r="L26" s="3">
        <f>ROUND(K26*0.1,0)</f>
        <v>5</v>
      </c>
      <c r="M26" s="3">
        <f>ROUND((E26/K26)*K26*0.5,0)</f>
        <v>8</v>
      </c>
      <c r="N26" s="3">
        <f>ROUND(((F26+G26+H26+I26)/K26)*K26*0.6,0)</f>
        <v>18</v>
      </c>
      <c r="O26" s="3">
        <f t="shared" si="19"/>
        <v>0</v>
      </c>
      <c r="P26" s="2">
        <f t="shared" si="20"/>
        <v>31</v>
      </c>
      <c r="Q26" s="3">
        <f t="shared" si="21"/>
        <v>0.9</v>
      </c>
      <c r="R26" s="3">
        <f t="shared" si="22"/>
        <v>2.1</v>
      </c>
      <c r="S26" s="3">
        <f t="shared" si="23"/>
        <v>1.8</v>
      </c>
      <c r="T26" s="3">
        <f t="shared" si="24"/>
        <v>1.2</v>
      </c>
      <c r="U26" s="3">
        <f>ROUND(K26/25+P26/25,0)</f>
        <v>3</v>
      </c>
      <c r="V26" s="16"/>
      <c r="W26" s="5"/>
      <c r="X26" s="3"/>
      <c r="Y26" s="4"/>
      <c r="Z26" s="5"/>
      <c r="AA26" s="3"/>
      <c r="AB26" s="4"/>
      <c r="AC26" s="5"/>
      <c r="AD26" s="3"/>
      <c r="AE26" s="4"/>
      <c r="AF26" s="14">
        <v>45</v>
      </c>
      <c r="AG26" s="3">
        <v>31</v>
      </c>
      <c r="AH26" s="16">
        <v>3</v>
      </c>
      <c r="AI26" s="5"/>
      <c r="AJ26" s="3"/>
      <c r="AK26" s="4"/>
      <c r="AL26" s="14"/>
      <c r="AM26" s="3"/>
      <c r="AN26" s="16"/>
      <c r="AO26" s="5"/>
      <c r="AP26" s="3"/>
      <c r="AQ26" s="4"/>
      <c r="AS26" s="139" t="str">
        <f t="shared" si="25"/>
        <v>OK</v>
      </c>
      <c r="AT26" s="138" t="str">
        <f t="shared" si="26"/>
        <v>OK</v>
      </c>
      <c r="AU26" s="140" t="str">
        <f t="shared" si="27"/>
        <v>OK</v>
      </c>
    </row>
    <row r="27" spans="1:47" x14ac:dyDescent="0.25">
      <c r="A27" s="5">
        <v>5</v>
      </c>
      <c r="B27" s="89" t="s">
        <v>78</v>
      </c>
      <c r="C27" s="89" t="s">
        <v>79</v>
      </c>
      <c r="D27" s="90" t="s">
        <v>69</v>
      </c>
      <c r="E27" s="14">
        <v>30</v>
      </c>
      <c r="F27" s="3">
        <v>20</v>
      </c>
      <c r="G27" s="3">
        <v>25</v>
      </c>
      <c r="H27" s="3"/>
      <c r="I27" s="3"/>
      <c r="J27" s="3"/>
      <c r="K27" s="2">
        <f t="shared" si="17"/>
        <v>75</v>
      </c>
      <c r="L27" s="3">
        <f t="shared" si="18"/>
        <v>8</v>
      </c>
      <c r="M27" s="3">
        <f>ROUND((E27/K27)*K27*0.5,0)+10</f>
        <v>25</v>
      </c>
      <c r="N27" s="3">
        <f>ROUND(((F27+G27+H27+I27)/K27)*K27*0.6,0)+20</f>
        <v>47</v>
      </c>
      <c r="O27" s="3">
        <f t="shared" si="19"/>
        <v>15</v>
      </c>
      <c r="P27" s="2">
        <f t="shared" si="20"/>
        <v>95</v>
      </c>
      <c r="Q27" s="3">
        <f t="shared" si="21"/>
        <v>2.2999999999999998</v>
      </c>
      <c r="R27" s="3">
        <f t="shared" si="22"/>
        <v>4.7</v>
      </c>
      <c r="S27" s="3">
        <f t="shared" si="23"/>
        <v>3.2</v>
      </c>
      <c r="T27" s="3">
        <f t="shared" si="24"/>
        <v>3.8</v>
      </c>
      <c r="U27" s="3">
        <f t="shared" si="29"/>
        <v>7</v>
      </c>
      <c r="V27" s="16" t="s">
        <v>38</v>
      </c>
      <c r="W27" s="5">
        <v>75</v>
      </c>
      <c r="X27" s="3">
        <v>95</v>
      </c>
      <c r="Y27" s="4">
        <v>7</v>
      </c>
      <c r="Z27" s="5"/>
      <c r="AA27" s="3"/>
      <c r="AB27" s="4"/>
      <c r="AC27" s="5"/>
      <c r="AD27" s="3"/>
      <c r="AE27" s="4"/>
      <c r="AF27" s="14"/>
      <c r="AG27" s="3"/>
      <c r="AH27" s="16"/>
      <c r="AI27" s="5"/>
      <c r="AJ27" s="3"/>
      <c r="AK27" s="4"/>
      <c r="AL27" s="14"/>
      <c r="AM27" s="3"/>
      <c r="AN27" s="16"/>
      <c r="AO27" s="5"/>
      <c r="AP27" s="3"/>
      <c r="AQ27" s="4"/>
      <c r="AS27" s="139" t="str">
        <f t="shared" si="25"/>
        <v>OK</v>
      </c>
      <c r="AT27" s="138" t="str">
        <f t="shared" si="26"/>
        <v>OK</v>
      </c>
      <c r="AU27" s="140" t="str">
        <f t="shared" si="27"/>
        <v>OK</v>
      </c>
    </row>
    <row r="28" spans="1:47" x14ac:dyDescent="0.25">
      <c r="A28" s="5">
        <v>6</v>
      </c>
      <c r="B28" s="89" t="s">
        <v>80</v>
      </c>
      <c r="C28" s="89" t="s">
        <v>81</v>
      </c>
      <c r="D28" s="90" t="s">
        <v>82</v>
      </c>
      <c r="E28" s="14">
        <v>15</v>
      </c>
      <c r="F28" s="3"/>
      <c r="G28" s="3">
        <v>15</v>
      </c>
      <c r="H28" s="3"/>
      <c r="I28" s="3"/>
      <c r="J28" s="3"/>
      <c r="K28" s="2">
        <f t="shared" si="17"/>
        <v>30</v>
      </c>
      <c r="L28" s="3">
        <f t="shared" si="18"/>
        <v>3</v>
      </c>
      <c r="M28" s="3">
        <f t="shared" si="28"/>
        <v>8</v>
      </c>
      <c r="N28" s="3">
        <f>ROUND(((F28+G28+H28+I28)/K28)*K28*0.6,0)</f>
        <v>9</v>
      </c>
      <c r="O28" s="3">
        <f t="shared" si="19"/>
        <v>0</v>
      </c>
      <c r="P28" s="2">
        <f t="shared" si="20"/>
        <v>20</v>
      </c>
      <c r="Q28" s="3">
        <f t="shared" si="21"/>
        <v>0.9</v>
      </c>
      <c r="R28" s="3">
        <f t="shared" si="22"/>
        <v>1.1000000000000001</v>
      </c>
      <c r="S28" s="3">
        <f t="shared" si="23"/>
        <v>1.2</v>
      </c>
      <c r="T28" s="3">
        <f t="shared" si="24"/>
        <v>0.8</v>
      </c>
      <c r="U28" s="3">
        <f t="shared" si="29"/>
        <v>2</v>
      </c>
      <c r="V28" s="16"/>
      <c r="W28" s="5">
        <v>30</v>
      </c>
      <c r="X28" s="3">
        <v>20</v>
      </c>
      <c r="Y28" s="4">
        <v>2</v>
      </c>
      <c r="Z28" s="5"/>
      <c r="AA28" s="3"/>
      <c r="AB28" s="4"/>
      <c r="AC28" s="5"/>
      <c r="AD28" s="3"/>
      <c r="AE28" s="4"/>
      <c r="AF28" s="14"/>
      <c r="AG28" s="3"/>
      <c r="AH28" s="16"/>
      <c r="AI28" s="5"/>
      <c r="AJ28" s="3"/>
      <c r="AK28" s="4"/>
      <c r="AL28" s="14"/>
      <c r="AM28" s="3"/>
      <c r="AN28" s="16"/>
      <c r="AO28" s="5"/>
      <c r="AP28" s="3"/>
      <c r="AQ28" s="4"/>
      <c r="AS28" s="139" t="str">
        <f t="shared" si="25"/>
        <v>OK</v>
      </c>
      <c r="AT28" s="138" t="str">
        <f t="shared" si="26"/>
        <v>OK</v>
      </c>
      <c r="AU28" s="140" t="str">
        <f t="shared" si="27"/>
        <v>OK</v>
      </c>
    </row>
    <row r="29" spans="1:47" x14ac:dyDescent="0.25">
      <c r="A29" s="5">
        <v>7</v>
      </c>
      <c r="B29" s="3" t="s">
        <v>83</v>
      </c>
      <c r="C29" s="3" t="s">
        <v>84</v>
      </c>
      <c r="D29" s="4" t="s">
        <v>85</v>
      </c>
      <c r="E29" s="14">
        <v>15</v>
      </c>
      <c r="F29" s="3"/>
      <c r="G29" s="3">
        <v>15</v>
      </c>
      <c r="H29" s="3"/>
      <c r="I29" s="3"/>
      <c r="J29" s="3"/>
      <c r="K29" s="2">
        <f t="shared" si="17"/>
        <v>30</v>
      </c>
      <c r="L29" s="3">
        <f t="shared" si="18"/>
        <v>3</v>
      </c>
      <c r="M29" s="3">
        <f t="shared" si="28"/>
        <v>8</v>
      </c>
      <c r="N29" s="3">
        <f>ROUND(((F29+G29+H29+I29)/K29)*K29*0.6,0)</f>
        <v>9</v>
      </c>
      <c r="O29" s="3">
        <f t="shared" si="19"/>
        <v>0</v>
      </c>
      <c r="P29" s="2">
        <f t="shared" si="20"/>
        <v>20</v>
      </c>
      <c r="Q29" s="3">
        <f t="shared" si="21"/>
        <v>0.9</v>
      </c>
      <c r="R29" s="3">
        <f t="shared" si="22"/>
        <v>1.1000000000000001</v>
      </c>
      <c r="S29" s="3">
        <f t="shared" si="23"/>
        <v>1.2</v>
      </c>
      <c r="T29" s="3">
        <f t="shared" si="24"/>
        <v>0.8</v>
      </c>
      <c r="U29" s="3">
        <f t="shared" si="29"/>
        <v>2</v>
      </c>
      <c r="V29" s="16"/>
      <c r="W29" s="5"/>
      <c r="X29" s="3"/>
      <c r="Y29" s="4"/>
      <c r="Z29" s="5">
        <v>30</v>
      </c>
      <c r="AA29" s="3">
        <v>20</v>
      </c>
      <c r="AB29" s="4">
        <v>2</v>
      </c>
      <c r="AC29" s="5"/>
      <c r="AD29" s="3"/>
      <c r="AE29" s="4"/>
      <c r="AF29" s="14"/>
      <c r="AG29" s="3"/>
      <c r="AH29" s="16"/>
      <c r="AI29" s="5"/>
      <c r="AJ29" s="3"/>
      <c r="AK29" s="4"/>
      <c r="AL29" s="14"/>
      <c r="AM29" s="3"/>
      <c r="AN29" s="16"/>
      <c r="AO29" s="5"/>
      <c r="AP29" s="3"/>
      <c r="AQ29" s="4"/>
      <c r="AS29" s="139" t="str">
        <f t="shared" si="25"/>
        <v>OK</v>
      </c>
      <c r="AT29" s="138" t="str">
        <f t="shared" si="26"/>
        <v>OK</v>
      </c>
      <c r="AU29" s="140" t="str">
        <f t="shared" si="27"/>
        <v>OK</v>
      </c>
    </row>
    <row r="30" spans="1:47" x14ac:dyDescent="0.25">
      <c r="A30" s="5">
        <v>8</v>
      </c>
      <c r="B30" s="3" t="s">
        <v>86</v>
      </c>
      <c r="C30" s="3" t="s">
        <v>87</v>
      </c>
      <c r="D30" s="4" t="s">
        <v>85</v>
      </c>
      <c r="E30" s="14">
        <v>10</v>
      </c>
      <c r="F30" s="3"/>
      <c r="G30" s="3">
        <v>20</v>
      </c>
      <c r="H30" s="3"/>
      <c r="I30" s="3"/>
      <c r="J30" s="3"/>
      <c r="K30" s="2">
        <f t="shared" si="17"/>
        <v>30</v>
      </c>
      <c r="L30" s="3">
        <f t="shared" si="18"/>
        <v>3</v>
      </c>
      <c r="M30" s="3">
        <f t="shared" si="28"/>
        <v>5</v>
      </c>
      <c r="N30" s="3">
        <f>ROUND(((F30+G30+H30+I30)/K30)*K30*0.6,0)</f>
        <v>12</v>
      </c>
      <c r="O30" s="3">
        <f t="shared" si="19"/>
        <v>0</v>
      </c>
      <c r="P30" s="2">
        <f t="shared" si="20"/>
        <v>20</v>
      </c>
      <c r="Q30" s="3">
        <f t="shared" si="21"/>
        <v>0.6</v>
      </c>
      <c r="R30" s="3">
        <f t="shared" si="22"/>
        <v>1.4</v>
      </c>
      <c r="S30" s="3">
        <f t="shared" si="23"/>
        <v>1.2</v>
      </c>
      <c r="T30" s="3">
        <f t="shared" si="24"/>
        <v>0.8</v>
      </c>
      <c r="U30" s="3">
        <f t="shared" si="29"/>
        <v>2</v>
      </c>
      <c r="V30" s="16"/>
      <c r="W30" s="5"/>
      <c r="X30" s="3"/>
      <c r="Y30" s="4"/>
      <c r="Z30" s="5">
        <v>30</v>
      </c>
      <c r="AA30" s="3">
        <v>20</v>
      </c>
      <c r="AB30" s="4">
        <v>2</v>
      </c>
      <c r="AC30" s="5"/>
      <c r="AD30" s="3"/>
      <c r="AE30" s="4"/>
      <c r="AF30" s="14"/>
      <c r="AG30" s="3"/>
      <c r="AH30" s="16"/>
      <c r="AI30" s="5"/>
      <c r="AJ30" s="3"/>
      <c r="AK30" s="4"/>
      <c r="AL30" s="14"/>
      <c r="AM30" s="3"/>
      <c r="AN30" s="16"/>
      <c r="AO30" s="5"/>
      <c r="AP30" s="3"/>
      <c r="AQ30" s="4"/>
      <c r="AS30" s="139" t="str">
        <f t="shared" si="25"/>
        <v>OK</v>
      </c>
      <c r="AT30" s="138" t="str">
        <f t="shared" si="26"/>
        <v>OK</v>
      </c>
      <c r="AU30" s="140" t="str">
        <f t="shared" si="27"/>
        <v>OK</v>
      </c>
    </row>
    <row r="31" spans="1:47" ht="15.75" thickBot="1" x14ac:dyDescent="0.3">
      <c r="A31" s="6">
        <v>9</v>
      </c>
      <c r="B31" s="7" t="s">
        <v>88</v>
      </c>
      <c r="C31" s="7" t="s">
        <v>89</v>
      </c>
      <c r="D31" s="9" t="s">
        <v>85</v>
      </c>
      <c r="E31" s="15">
        <v>10</v>
      </c>
      <c r="F31" s="7"/>
      <c r="G31" s="7">
        <v>20</v>
      </c>
      <c r="H31" s="7"/>
      <c r="I31" s="7"/>
      <c r="J31" s="7"/>
      <c r="K31" s="2">
        <f t="shared" si="17"/>
        <v>30</v>
      </c>
      <c r="L31" s="7">
        <f t="shared" si="18"/>
        <v>3</v>
      </c>
      <c r="M31" s="7">
        <f t="shared" si="28"/>
        <v>5</v>
      </c>
      <c r="N31" s="7">
        <f>ROUND(((F31+G31+H31+I31)/K31)*K31*0.6,0)</f>
        <v>12</v>
      </c>
      <c r="O31" s="7">
        <f t="shared" si="19"/>
        <v>0</v>
      </c>
      <c r="P31" s="8">
        <f t="shared" si="20"/>
        <v>20</v>
      </c>
      <c r="Q31" s="7">
        <f t="shared" si="21"/>
        <v>0.6</v>
      </c>
      <c r="R31" s="7">
        <f t="shared" si="22"/>
        <v>1.4</v>
      </c>
      <c r="S31" s="3">
        <f t="shared" si="23"/>
        <v>1.2</v>
      </c>
      <c r="T31" s="3">
        <f t="shared" si="24"/>
        <v>0.8</v>
      </c>
      <c r="U31" s="7">
        <f t="shared" si="29"/>
        <v>2</v>
      </c>
      <c r="V31" s="17"/>
      <c r="W31" s="6"/>
      <c r="X31" s="7"/>
      <c r="Y31" s="9"/>
      <c r="Z31" s="6"/>
      <c r="AA31" s="7"/>
      <c r="AB31" s="9"/>
      <c r="AC31" s="6">
        <v>30</v>
      </c>
      <c r="AD31" s="7">
        <v>20</v>
      </c>
      <c r="AE31" s="9">
        <v>2</v>
      </c>
      <c r="AF31" s="15"/>
      <c r="AG31" s="7"/>
      <c r="AH31" s="17"/>
      <c r="AI31" s="6"/>
      <c r="AJ31" s="7"/>
      <c r="AK31" s="9"/>
      <c r="AL31" s="15"/>
      <c r="AM31" s="7"/>
      <c r="AN31" s="17"/>
      <c r="AO31" s="6"/>
      <c r="AP31" s="7"/>
      <c r="AQ31" s="9"/>
      <c r="AS31" s="139" t="str">
        <f t="shared" si="25"/>
        <v>OK</v>
      </c>
      <c r="AT31" s="138" t="str">
        <f t="shared" si="26"/>
        <v>OK</v>
      </c>
      <c r="AU31" s="140" t="str">
        <f t="shared" si="27"/>
        <v>OK</v>
      </c>
    </row>
    <row r="32" spans="1:47" x14ac:dyDescent="0.25">
      <c r="A32" s="31" t="s">
        <v>90</v>
      </c>
      <c r="B32" s="232" t="s">
        <v>91</v>
      </c>
      <c r="C32" s="233"/>
      <c r="D32" s="234"/>
      <c r="E32" s="33">
        <f t="shared" ref="E32:AQ32" si="30">SUM(E33:E52)</f>
        <v>436</v>
      </c>
      <c r="F32" s="32">
        <f t="shared" si="30"/>
        <v>0</v>
      </c>
      <c r="G32" s="32">
        <f t="shared" si="30"/>
        <v>725</v>
      </c>
      <c r="H32" s="32">
        <f t="shared" si="30"/>
        <v>0</v>
      </c>
      <c r="I32" s="32">
        <f t="shared" si="30"/>
        <v>0</v>
      </c>
      <c r="J32" s="32"/>
      <c r="K32" s="32">
        <f t="shared" si="30"/>
        <v>1161</v>
      </c>
      <c r="L32" s="32">
        <f t="shared" si="30"/>
        <v>117</v>
      </c>
      <c r="M32" s="32">
        <f t="shared" si="30"/>
        <v>261</v>
      </c>
      <c r="N32" s="32">
        <f t="shared" si="30"/>
        <v>569</v>
      </c>
      <c r="O32" s="32">
        <f t="shared" si="30"/>
        <v>139</v>
      </c>
      <c r="P32" s="32">
        <f t="shared" si="30"/>
        <v>1086</v>
      </c>
      <c r="Q32" s="32">
        <f t="shared" si="30"/>
        <v>28.7</v>
      </c>
      <c r="R32" s="32">
        <f t="shared" si="30"/>
        <v>64.3</v>
      </c>
      <c r="S32" s="32">
        <f t="shared" si="30"/>
        <v>49.79999999999999</v>
      </c>
      <c r="T32" s="32">
        <f t="shared" si="30"/>
        <v>43.20000000000001</v>
      </c>
      <c r="U32" s="32">
        <f>SUM(U33:U52)</f>
        <v>93</v>
      </c>
      <c r="V32" s="34"/>
      <c r="W32" s="31">
        <f t="shared" si="30"/>
        <v>105</v>
      </c>
      <c r="X32" s="32">
        <f t="shared" si="30"/>
        <v>132</v>
      </c>
      <c r="Y32" s="101">
        <f t="shared" si="30"/>
        <v>10</v>
      </c>
      <c r="Z32" s="31">
        <f t="shared" si="30"/>
        <v>200</v>
      </c>
      <c r="AA32" s="32">
        <f t="shared" si="30"/>
        <v>191</v>
      </c>
      <c r="AB32" s="101">
        <f t="shared" si="30"/>
        <v>18</v>
      </c>
      <c r="AC32" s="31">
        <f t="shared" si="30"/>
        <v>285</v>
      </c>
      <c r="AD32" s="32">
        <f t="shared" si="30"/>
        <v>227</v>
      </c>
      <c r="AE32" s="101">
        <f t="shared" si="30"/>
        <v>20</v>
      </c>
      <c r="AF32" s="33">
        <f t="shared" si="30"/>
        <v>320</v>
      </c>
      <c r="AG32" s="32">
        <f t="shared" si="30"/>
        <v>302</v>
      </c>
      <c r="AH32" s="108">
        <f t="shared" si="30"/>
        <v>25</v>
      </c>
      <c r="AI32" s="31">
        <f t="shared" si="30"/>
        <v>206</v>
      </c>
      <c r="AJ32" s="32">
        <f t="shared" si="30"/>
        <v>204</v>
      </c>
      <c r="AK32" s="101">
        <f t="shared" si="30"/>
        <v>17</v>
      </c>
      <c r="AL32" s="33">
        <f t="shared" si="30"/>
        <v>45</v>
      </c>
      <c r="AM32" s="32">
        <f t="shared" si="30"/>
        <v>30</v>
      </c>
      <c r="AN32" s="108">
        <f t="shared" si="30"/>
        <v>3</v>
      </c>
      <c r="AO32" s="31">
        <f t="shared" si="30"/>
        <v>0</v>
      </c>
      <c r="AP32" s="32">
        <f t="shared" si="30"/>
        <v>0</v>
      </c>
      <c r="AQ32" s="101">
        <f t="shared" si="30"/>
        <v>0</v>
      </c>
      <c r="AS32" s="147"/>
      <c r="AT32" s="148"/>
      <c r="AU32" s="149"/>
    </row>
    <row r="33" spans="1:47" ht="15.6" customHeight="1" x14ac:dyDescent="0.25">
      <c r="A33" s="182">
        <v>1</v>
      </c>
      <c r="B33" s="171" t="s">
        <v>92</v>
      </c>
      <c r="C33" s="91" t="s">
        <v>93</v>
      </c>
      <c r="D33" s="92" t="s">
        <v>72</v>
      </c>
      <c r="E33" s="183">
        <v>15</v>
      </c>
      <c r="F33" s="184"/>
      <c r="G33" s="184">
        <v>25</v>
      </c>
      <c r="H33" s="184"/>
      <c r="I33" s="184"/>
      <c r="J33" s="184"/>
      <c r="K33" s="2">
        <f t="shared" ref="K33:K52" si="31">SUM(E33:J33)</f>
        <v>40</v>
      </c>
      <c r="L33" s="3">
        <f t="shared" ref="L33:L52" si="32">ROUND(K33*0.1,0)</f>
        <v>4</v>
      </c>
      <c r="M33" s="3">
        <f>ROUND((E33/K33)*K33*0.5,0)+5</f>
        <v>13</v>
      </c>
      <c r="N33" s="3">
        <f>ROUND(((F33+G33+H33+I33)/K33)*K33*0.6,0)+20</f>
        <v>35</v>
      </c>
      <c r="O33" s="3">
        <f>IF(V33="E",ROUND(K33*0.2,0),0)</f>
        <v>0</v>
      </c>
      <c r="P33" s="2">
        <f t="shared" ref="P33:P52" si="33">SUM(L33:O33)</f>
        <v>52</v>
      </c>
      <c r="Q33" s="3">
        <f t="shared" ref="Q33:Q52" si="34">ROUND(U33*(E33+M33)/(K33+P33),1)</f>
        <v>1.2</v>
      </c>
      <c r="R33" s="3">
        <f t="shared" ref="R33:R52" si="35">U33-Q33</f>
        <v>2.8</v>
      </c>
      <c r="S33" s="3">
        <f t="shared" ref="S33:S70" si="36">U33-T33</f>
        <v>1.9</v>
      </c>
      <c r="T33" s="3">
        <f t="shared" ref="T33:T52" si="37">ROUND((P33)/25,1)</f>
        <v>2.1</v>
      </c>
      <c r="U33" s="3">
        <f t="shared" ref="U33:U52" si="38">ROUND(K33/25+P33/25,0)</f>
        <v>4</v>
      </c>
      <c r="V33" s="16"/>
      <c r="W33" s="5">
        <v>40</v>
      </c>
      <c r="X33" s="3">
        <v>52</v>
      </c>
      <c r="Y33" s="4">
        <v>4</v>
      </c>
      <c r="Z33" s="5"/>
      <c r="AA33" s="3"/>
      <c r="AB33" s="4"/>
      <c r="AC33" s="5"/>
      <c r="AD33" s="3"/>
      <c r="AE33" s="4"/>
      <c r="AF33" s="14"/>
      <c r="AG33" s="3"/>
      <c r="AH33" s="16"/>
      <c r="AI33" s="5"/>
      <c r="AJ33" s="3"/>
      <c r="AK33" s="4"/>
      <c r="AL33" s="190"/>
      <c r="AM33" s="191"/>
      <c r="AN33" s="192"/>
      <c r="AO33" s="5"/>
      <c r="AP33" s="3"/>
      <c r="AQ33" s="4"/>
      <c r="AS33" s="139" t="str">
        <f t="shared" ref="AS33:AS52" si="39">IF(K33=W33+Z33+AC33+AF33+AI33+AL33+AO33,"OK","BŁĄD")</f>
        <v>OK</v>
      </c>
      <c r="AT33" s="138" t="str">
        <f t="shared" ref="AT33:AT52" si="40">IF(P33=X33+AA33+AD33+AG33+AJ33+AM33+AP33,"OK","BŁĄD")</f>
        <v>OK</v>
      </c>
      <c r="AU33" s="140" t="str">
        <f t="shared" ref="AU33:AU52" si="41">IF(U33=Y33+AB33+AE33+AH33+AK33+AN33+AQ33,"OK","BŁĄD")</f>
        <v>OK</v>
      </c>
    </row>
    <row r="34" spans="1:47" ht="15.6" customHeight="1" x14ac:dyDescent="0.25">
      <c r="A34" s="182">
        <v>2</v>
      </c>
      <c r="B34" s="171" t="s">
        <v>94</v>
      </c>
      <c r="C34" s="91" t="s">
        <v>95</v>
      </c>
      <c r="D34" s="92" t="s">
        <v>96</v>
      </c>
      <c r="E34" s="183">
        <v>15</v>
      </c>
      <c r="F34" s="184"/>
      <c r="G34" s="184">
        <v>30</v>
      </c>
      <c r="H34" s="184"/>
      <c r="I34" s="184"/>
      <c r="J34" s="184"/>
      <c r="K34" s="2">
        <f t="shared" si="31"/>
        <v>45</v>
      </c>
      <c r="L34" s="3">
        <f t="shared" si="32"/>
        <v>5</v>
      </c>
      <c r="M34" s="3">
        <f t="shared" ref="M34:M51" si="42">ROUND((E34/K34)*K34*0.5,0)</f>
        <v>8</v>
      </c>
      <c r="N34" s="3">
        <f>ROUND(((F34+G34+H34+I34)/K34)*K34*0.6,0)</f>
        <v>18</v>
      </c>
      <c r="O34" s="3">
        <f>IF(V34="E",ROUND(K34*0.2,0),0)</f>
        <v>0</v>
      </c>
      <c r="P34" s="2">
        <f t="shared" si="33"/>
        <v>31</v>
      </c>
      <c r="Q34" s="3">
        <f t="shared" si="34"/>
        <v>0.9</v>
      </c>
      <c r="R34" s="3">
        <f t="shared" si="35"/>
        <v>2.1</v>
      </c>
      <c r="S34" s="3">
        <f t="shared" si="36"/>
        <v>1.8</v>
      </c>
      <c r="T34" s="3">
        <f t="shared" si="37"/>
        <v>1.2</v>
      </c>
      <c r="U34" s="3">
        <f t="shared" si="38"/>
        <v>3</v>
      </c>
      <c r="V34" s="16"/>
      <c r="W34" s="132"/>
      <c r="X34" s="133"/>
      <c r="Y34" s="134"/>
      <c r="Z34" s="5">
        <v>45</v>
      </c>
      <c r="AA34" s="3">
        <v>31</v>
      </c>
      <c r="AB34" s="4">
        <v>3</v>
      </c>
      <c r="AC34" s="5"/>
      <c r="AD34" s="3"/>
      <c r="AE34" s="4"/>
      <c r="AF34" s="14"/>
      <c r="AG34" s="3"/>
      <c r="AH34" s="16"/>
      <c r="AI34" s="5"/>
      <c r="AJ34" s="3"/>
      <c r="AK34" s="4"/>
      <c r="AL34" s="190"/>
      <c r="AM34" s="191"/>
      <c r="AN34" s="192"/>
      <c r="AO34" s="5"/>
      <c r="AP34" s="3"/>
      <c r="AQ34" s="4"/>
      <c r="AS34" s="139" t="str">
        <f t="shared" si="39"/>
        <v>OK</v>
      </c>
      <c r="AT34" s="138" t="str">
        <f t="shared" si="40"/>
        <v>OK</v>
      </c>
      <c r="AU34" s="140" t="str">
        <f t="shared" si="41"/>
        <v>OK</v>
      </c>
    </row>
    <row r="35" spans="1:47" x14ac:dyDescent="0.25">
      <c r="A35" s="182">
        <v>3</v>
      </c>
      <c r="B35" s="171" t="s">
        <v>97</v>
      </c>
      <c r="C35" s="91" t="s">
        <v>98</v>
      </c>
      <c r="D35" s="92" t="s">
        <v>99</v>
      </c>
      <c r="E35" s="14">
        <v>20</v>
      </c>
      <c r="F35" s="3"/>
      <c r="G35" s="3">
        <v>45</v>
      </c>
      <c r="H35" s="3"/>
      <c r="I35" s="3"/>
      <c r="J35" s="3"/>
      <c r="K35" s="2">
        <f t="shared" si="31"/>
        <v>65</v>
      </c>
      <c r="L35" s="3">
        <f t="shared" si="32"/>
        <v>7</v>
      </c>
      <c r="M35" s="3">
        <f>ROUND((E35/K35)*K35*0.5,0)+6</f>
        <v>16</v>
      </c>
      <c r="N35" s="3">
        <f>ROUND(((F35+G35+H35+I35)/K35)*K35*0.6,0)+17</f>
        <v>44</v>
      </c>
      <c r="O35" s="3">
        <f>IF(V35="E",ROUND(K35*0.2,0),0)</f>
        <v>13</v>
      </c>
      <c r="P35" s="2">
        <f t="shared" si="33"/>
        <v>80</v>
      </c>
      <c r="Q35" s="3">
        <f t="shared" si="34"/>
        <v>1.5</v>
      </c>
      <c r="R35" s="3">
        <f t="shared" si="35"/>
        <v>4.5</v>
      </c>
      <c r="S35" s="3">
        <f t="shared" si="36"/>
        <v>2.8</v>
      </c>
      <c r="T35" s="3">
        <f t="shared" si="37"/>
        <v>3.2</v>
      </c>
      <c r="U35" s="3">
        <f>ROUND(K35/25+P35/25,0)</f>
        <v>6</v>
      </c>
      <c r="V35" s="16" t="s">
        <v>38</v>
      </c>
      <c r="W35" s="5">
        <v>65</v>
      </c>
      <c r="X35" s="3">
        <v>80</v>
      </c>
      <c r="Y35" s="4">
        <v>6</v>
      </c>
      <c r="Z35" s="5"/>
      <c r="AA35" s="3"/>
      <c r="AB35" s="4"/>
      <c r="AC35" s="5"/>
      <c r="AD35" s="3"/>
      <c r="AE35" s="4"/>
      <c r="AF35" s="14"/>
      <c r="AG35" s="3"/>
      <c r="AH35" s="16"/>
      <c r="AI35" s="5"/>
      <c r="AJ35" s="3"/>
      <c r="AK35" s="4"/>
      <c r="AL35" s="190"/>
      <c r="AM35" s="191"/>
      <c r="AN35" s="192"/>
      <c r="AO35" s="5"/>
      <c r="AP35" s="3"/>
      <c r="AQ35" s="4"/>
      <c r="AS35" s="139" t="str">
        <f t="shared" si="39"/>
        <v>OK</v>
      </c>
      <c r="AT35" s="138" t="str">
        <f t="shared" si="40"/>
        <v>OK</v>
      </c>
      <c r="AU35" s="140" t="str">
        <f t="shared" si="41"/>
        <v>OK</v>
      </c>
    </row>
    <row r="36" spans="1:47" x14ac:dyDescent="0.25">
      <c r="A36" s="182">
        <v>4</v>
      </c>
      <c r="B36" s="171" t="s">
        <v>100</v>
      </c>
      <c r="C36" s="91" t="s">
        <v>101</v>
      </c>
      <c r="D36" s="92" t="s">
        <v>99</v>
      </c>
      <c r="E36" s="14">
        <v>20</v>
      </c>
      <c r="F36" s="3"/>
      <c r="G36" s="3">
        <v>40</v>
      </c>
      <c r="H36" s="3"/>
      <c r="I36" s="3"/>
      <c r="J36" s="3"/>
      <c r="K36" s="2">
        <f t="shared" si="31"/>
        <v>60</v>
      </c>
      <c r="L36" s="3">
        <f>ROUND(K36*0.1,0)+1</f>
        <v>7</v>
      </c>
      <c r="M36" s="3">
        <f>ROUND((E36/K36)*K36*0.5,0)+6</f>
        <v>16</v>
      </c>
      <c r="N36" s="3">
        <f>ROUND(((F36+G36+H36+I36)/K36)*K36*0.6,0)+24</f>
        <v>48</v>
      </c>
      <c r="O36" s="3">
        <f>IF(V36="E",ROUND(K36*0.2,0),0)+1</f>
        <v>13</v>
      </c>
      <c r="P36" s="2">
        <f t="shared" si="33"/>
        <v>84</v>
      </c>
      <c r="Q36" s="3">
        <f t="shared" si="34"/>
        <v>1.8</v>
      </c>
      <c r="R36" s="3">
        <f t="shared" si="35"/>
        <v>5.2</v>
      </c>
      <c r="S36" s="3">
        <f t="shared" si="36"/>
        <v>3.6</v>
      </c>
      <c r="T36" s="3">
        <f t="shared" si="37"/>
        <v>3.4</v>
      </c>
      <c r="U36" s="3">
        <f>ROUND(K36/25+P36/25,0)+1</f>
        <v>7</v>
      </c>
      <c r="V36" s="16" t="s">
        <v>38</v>
      </c>
      <c r="W36" s="5"/>
      <c r="X36" s="3"/>
      <c r="Y36" s="4"/>
      <c r="Z36" s="5">
        <v>60</v>
      </c>
      <c r="AA36" s="3">
        <v>84</v>
      </c>
      <c r="AB36" s="4">
        <v>7</v>
      </c>
      <c r="AC36" s="5"/>
      <c r="AD36" s="3"/>
      <c r="AE36" s="4"/>
      <c r="AF36" s="14"/>
      <c r="AG36" s="3"/>
      <c r="AH36" s="16"/>
      <c r="AI36" s="5"/>
      <c r="AJ36" s="3"/>
      <c r="AK36" s="4"/>
      <c r="AL36" s="190"/>
      <c r="AM36" s="191"/>
      <c r="AN36" s="192"/>
      <c r="AO36" s="5"/>
      <c r="AP36" s="3"/>
      <c r="AQ36" s="4"/>
      <c r="AS36" s="139" t="str">
        <f t="shared" si="39"/>
        <v>OK</v>
      </c>
      <c r="AT36" s="138" t="str">
        <f t="shared" si="40"/>
        <v>OK</v>
      </c>
      <c r="AU36" s="140" t="str">
        <f t="shared" si="41"/>
        <v>OK</v>
      </c>
    </row>
    <row r="37" spans="1:47" x14ac:dyDescent="0.25">
      <c r="A37" s="182">
        <v>5</v>
      </c>
      <c r="B37" s="171" t="s">
        <v>102</v>
      </c>
      <c r="C37" s="91" t="s">
        <v>103</v>
      </c>
      <c r="D37" s="92" t="s">
        <v>104</v>
      </c>
      <c r="E37" s="14">
        <v>20</v>
      </c>
      <c r="F37" s="3"/>
      <c r="G37" s="3">
        <v>40</v>
      </c>
      <c r="H37" s="3"/>
      <c r="I37" s="3"/>
      <c r="J37" s="3"/>
      <c r="K37" s="2">
        <f t="shared" si="31"/>
        <v>60</v>
      </c>
      <c r="L37" s="3">
        <f t="shared" si="32"/>
        <v>6</v>
      </c>
      <c r="M37" s="3">
        <f>ROUND((E37/K37)*K37*0.5,0)+2</f>
        <v>12</v>
      </c>
      <c r="N37" s="3">
        <f>ROUND(((F37+G37+H37+I37)/K37)*K37*0.6,0)+6</f>
        <v>30</v>
      </c>
      <c r="O37" s="3">
        <f t="shared" ref="O37:O52" si="43">IF(V37="E",ROUND(K37*0.2,0),0)</f>
        <v>12</v>
      </c>
      <c r="P37" s="2">
        <f t="shared" si="33"/>
        <v>60</v>
      </c>
      <c r="Q37" s="3">
        <f t="shared" si="34"/>
        <v>1.3</v>
      </c>
      <c r="R37" s="3">
        <f t="shared" si="35"/>
        <v>3.7</v>
      </c>
      <c r="S37" s="3">
        <f t="shared" si="36"/>
        <v>2.6</v>
      </c>
      <c r="T37" s="3">
        <f t="shared" si="37"/>
        <v>2.4</v>
      </c>
      <c r="U37" s="3">
        <f>ROUND(K37/25+P37/25,0)</f>
        <v>5</v>
      </c>
      <c r="V37" s="16" t="s">
        <v>38</v>
      </c>
      <c r="W37" s="5"/>
      <c r="X37" s="3"/>
      <c r="Y37" s="4"/>
      <c r="Z37" s="5"/>
      <c r="AA37" s="3"/>
      <c r="AB37" s="4"/>
      <c r="AC37" s="5">
        <v>60</v>
      </c>
      <c r="AD37" s="3">
        <v>60</v>
      </c>
      <c r="AE37" s="4">
        <v>5</v>
      </c>
      <c r="AF37" s="14"/>
      <c r="AG37" s="3"/>
      <c r="AH37" s="16"/>
      <c r="AI37" s="5"/>
      <c r="AJ37" s="3"/>
      <c r="AK37" s="4"/>
      <c r="AL37" s="14"/>
      <c r="AM37" s="3"/>
      <c r="AN37" s="16"/>
      <c r="AO37" s="5"/>
      <c r="AP37" s="3"/>
      <c r="AQ37" s="4"/>
      <c r="AS37" s="139" t="str">
        <f t="shared" si="39"/>
        <v>OK</v>
      </c>
      <c r="AT37" s="138" t="str">
        <f t="shared" si="40"/>
        <v>OK</v>
      </c>
      <c r="AU37" s="140" t="str">
        <f t="shared" si="41"/>
        <v>OK</v>
      </c>
    </row>
    <row r="38" spans="1:47" x14ac:dyDescent="0.25">
      <c r="A38" s="182">
        <v>6</v>
      </c>
      <c r="B38" s="171" t="s">
        <v>105</v>
      </c>
      <c r="C38" s="91" t="s">
        <v>106</v>
      </c>
      <c r="D38" s="92" t="s">
        <v>107</v>
      </c>
      <c r="E38" s="95">
        <v>30</v>
      </c>
      <c r="F38" s="89"/>
      <c r="G38" s="89">
        <v>45</v>
      </c>
      <c r="H38" s="89"/>
      <c r="I38" s="3"/>
      <c r="J38" s="3"/>
      <c r="K38" s="2">
        <f t="shared" si="31"/>
        <v>75</v>
      </c>
      <c r="L38" s="3">
        <f t="shared" si="32"/>
        <v>8</v>
      </c>
      <c r="M38" s="3">
        <f>ROUND((E38/K38)*K38*0.5,0)+1</f>
        <v>16</v>
      </c>
      <c r="N38" s="3">
        <f>ROUND(((F38+G38+H38+I38)/K38)*K38*0.6,0)+5</f>
        <v>32</v>
      </c>
      <c r="O38" s="3">
        <f t="shared" si="43"/>
        <v>15</v>
      </c>
      <c r="P38" s="2">
        <f t="shared" si="33"/>
        <v>71</v>
      </c>
      <c r="Q38" s="3">
        <f t="shared" si="34"/>
        <v>1.9</v>
      </c>
      <c r="R38" s="3">
        <f t="shared" si="35"/>
        <v>4.0999999999999996</v>
      </c>
      <c r="S38" s="3">
        <f t="shared" si="36"/>
        <v>3.2</v>
      </c>
      <c r="T38" s="3">
        <f t="shared" si="37"/>
        <v>2.8</v>
      </c>
      <c r="U38" s="3">
        <f>ROUND(K38/25+P38/25,0)</f>
        <v>6</v>
      </c>
      <c r="V38" s="16" t="s">
        <v>38</v>
      </c>
      <c r="W38" s="5"/>
      <c r="X38" s="3"/>
      <c r="Y38" s="4"/>
      <c r="Z38" s="5"/>
      <c r="AA38" s="3"/>
      <c r="AB38" s="4"/>
      <c r="AC38" s="5"/>
      <c r="AD38" s="3"/>
      <c r="AE38" s="4"/>
      <c r="AF38" s="14">
        <v>75</v>
      </c>
      <c r="AG38" s="3">
        <v>71</v>
      </c>
      <c r="AH38" s="16">
        <v>6</v>
      </c>
      <c r="AI38" s="5"/>
      <c r="AJ38" s="3"/>
      <c r="AK38" s="4"/>
      <c r="AL38" s="14"/>
      <c r="AM38" s="3"/>
      <c r="AN38" s="16"/>
      <c r="AO38" s="5"/>
      <c r="AP38" s="3"/>
      <c r="AQ38" s="4"/>
      <c r="AS38" s="139" t="str">
        <f t="shared" si="39"/>
        <v>OK</v>
      </c>
      <c r="AT38" s="138" t="str">
        <f t="shared" si="40"/>
        <v>OK</v>
      </c>
      <c r="AU38" s="140" t="str">
        <f t="shared" si="41"/>
        <v>OK</v>
      </c>
    </row>
    <row r="39" spans="1:47" x14ac:dyDescent="0.25">
      <c r="A39" s="182">
        <v>7</v>
      </c>
      <c r="B39" s="171" t="s">
        <v>108</v>
      </c>
      <c r="C39" s="91" t="s">
        <v>109</v>
      </c>
      <c r="D39" s="92" t="s">
        <v>107</v>
      </c>
      <c r="E39" s="95">
        <v>20</v>
      </c>
      <c r="F39" s="89"/>
      <c r="G39" s="89">
        <v>30</v>
      </c>
      <c r="H39" s="89"/>
      <c r="I39" s="3"/>
      <c r="J39" s="3"/>
      <c r="K39" s="2">
        <f t="shared" si="31"/>
        <v>50</v>
      </c>
      <c r="L39" s="3">
        <f>ROUND(K39*0.1,0)-2</f>
        <v>3</v>
      </c>
      <c r="M39" s="3">
        <f>ROUND((E39/K39)*K39*0.5,0)+5</f>
        <v>15</v>
      </c>
      <c r="N39" s="3">
        <f>ROUND(((F39+G39+H39+I39)/K39)*K39*0.6,0)+10</f>
        <v>28</v>
      </c>
      <c r="O39" s="3">
        <f t="shared" si="43"/>
        <v>0</v>
      </c>
      <c r="P39" s="2">
        <f t="shared" si="33"/>
        <v>46</v>
      </c>
      <c r="Q39" s="3">
        <f t="shared" si="34"/>
        <v>1.5</v>
      </c>
      <c r="R39" s="3">
        <f t="shared" si="35"/>
        <v>2.5</v>
      </c>
      <c r="S39" s="3">
        <f t="shared" si="36"/>
        <v>2.2000000000000002</v>
      </c>
      <c r="T39" s="3">
        <f t="shared" si="37"/>
        <v>1.8</v>
      </c>
      <c r="U39" s="3">
        <f>ROUND(K39/25+P39/25,0)</f>
        <v>4</v>
      </c>
      <c r="V39" s="16"/>
      <c r="W39" s="5"/>
      <c r="X39" s="3"/>
      <c r="Y39" s="4"/>
      <c r="Z39" s="5"/>
      <c r="AA39" s="3"/>
      <c r="AB39" s="4"/>
      <c r="AC39" s="5"/>
      <c r="AD39" s="3"/>
      <c r="AE39" s="4"/>
      <c r="AF39" s="14"/>
      <c r="AG39" s="3"/>
      <c r="AH39" s="16"/>
      <c r="AI39" s="5">
        <v>50</v>
      </c>
      <c r="AJ39" s="3">
        <v>46</v>
      </c>
      <c r="AK39" s="4">
        <v>4</v>
      </c>
      <c r="AL39" s="14"/>
      <c r="AM39" s="3"/>
      <c r="AN39" s="16"/>
      <c r="AO39" s="5"/>
      <c r="AP39" s="3"/>
      <c r="AQ39" s="4"/>
      <c r="AS39" s="139" t="str">
        <f t="shared" si="39"/>
        <v>OK</v>
      </c>
      <c r="AT39" s="138" t="str">
        <f t="shared" si="40"/>
        <v>OK</v>
      </c>
      <c r="AU39" s="140" t="str">
        <f t="shared" si="41"/>
        <v>OK</v>
      </c>
    </row>
    <row r="40" spans="1:47" x14ac:dyDescent="0.25">
      <c r="A40" s="182">
        <v>8</v>
      </c>
      <c r="B40" s="171" t="s">
        <v>110</v>
      </c>
      <c r="C40" s="91" t="s">
        <v>111</v>
      </c>
      <c r="D40" s="92" t="s">
        <v>112</v>
      </c>
      <c r="E40" s="95">
        <v>20</v>
      </c>
      <c r="F40" s="89"/>
      <c r="G40" s="89">
        <v>30</v>
      </c>
      <c r="H40" s="89"/>
      <c r="I40" s="3"/>
      <c r="J40" s="3"/>
      <c r="K40" s="2">
        <f t="shared" si="31"/>
        <v>50</v>
      </c>
      <c r="L40" s="3">
        <f t="shared" si="32"/>
        <v>5</v>
      </c>
      <c r="M40" s="3">
        <f t="shared" si="42"/>
        <v>10</v>
      </c>
      <c r="N40" s="3">
        <f>ROUND(((F40+G40+H40+I40)/K40)*K40*0.6,0)+12</f>
        <v>30</v>
      </c>
      <c r="O40" s="3">
        <f t="shared" si="43"/>
        <v>0</v>
      </c>
      <c r="P40" s="2">
        <f t="shared" si="33"/>
        <v>45</v>
      </c>
      <c r="Q40" s="3">
        <f t="shared" si="34"/>
        <v>1.6</v>
      </c>
      <c r="R40" s="3">
        <f t="shared" si="35"/>
        <v>3.4</v>
      </c>
      <c r="S40" s="3">
        <f t="shared" si="36"/>
        <v>3.2</v>
      </c>
      <c r="T40" s="3">
        <f t="shared" si="37"/>
        <v>1.8</v>
      </c>
      <c r="U40" s="3">
        <f>ROUND(K40/25+P40/25,0)+1</f>
        <v>5</v>
      </c>
      <c r="V40" s="16"/>
      <c r="W40" s="5"/>
      <c r="X40" s="3"/>
      <c r="Y40" s="4"/>
      <c r="Z40" s="5">
        <v>50</v>
      </c>
      <c r="AA40" s="3">
        <v>45</v>
      </c>
      <c r="AB40" s="4">
        <v>5</v>
      </c>
      <c r="AC40" s="5"/>
      <c r="AD40" s="3"/>
      <c r="AE40" s="4"/>
      <c r="AF40" s="14"/>
      <c r="AG40" s="3"/>
      <c r="AH40" s="16"/>
      <c r="AI40" s="5"/>
      <c r="AJ40" s="3"/>
      <c r="AK40" s="4"/>
      <c r="AL40" s="14"/>
      <c r="AM40" s="3"/>
      <c r="AN40" s="16"/>
      <c r="AO40" s="5"/>
      <c r="AP40" s="3"/>
      <c r="AQ40" s="4"/>
      <c r="AS40" s="139" t="str">
        <f t="shared" si="39"/>
        <v>OK</v>
      </c>
      <c r="AT40" s="138" t="str">
        <f t="shared" si="40"/>
        <v>OK</v>
      </c>
      <c r="AU40" s="140" t="str">
        <f t="shared" si="41"/>
        <v>OK</v>
      </c>
    </row>
    <row r="41" spans="1:47" x14ac:dyDescent="0.25">
      <c r="A41" s="182">
        <v>9</v>
      </c>
      <c r="B41" s="171" t="s">
        <v>113</v>
      </c>
      <c r="C41" s="91" t="s">
        <v>114</v>
      </c>
      <c r="D41" s="92" t="s">
        <v>115</v>
      </c>
      <c r="E41" s="95">
        <v>25</v>
      </c>
      <c r="F41" s="89"/>
      <c r="G41" s="89">
        <v>45</v>
      </c>
      <c r="H41" s="89"/>
      <c r="I41" s="3"/>
      <c r="J41" s="3"/>
      <c r="K41" s="2">
        <f t="shared" si="31"/>
        <v>70</v>
      </c>
      <c r="L41" s="3">
        <f t="shared" si="32"/>
        <v>7</v>
      </c>
      <c r="M41" s="3">
        <f>ROUND((E41/K41)*K41*0.5,0)+8</f>
        <v>21</v>
      </c>
      <c r="N41" s="3">
        <f>ROUND(((F41+G41+H41+I41)/K41)*K41*0.6,0)+12</f>
        <v>39</v>
      </c>
      <c r="O41" s="3">
        <f t="shared" si="43"/>
        <v>14</v>
      </c>
      <c r="P41" s="2">
        <f t="shared" si="33"/>
        <v>81</v>
      </c>
      <c r="Q41" s="3">
        <f t="shared" si="34"/>
        <v>1.8</v>
      </c>
      <c r="R41" s="3">
        <f t="shared" si="35"/>
        <v>4.2</v>
      </c>
      <c r="S41" s="3">
        <f t="shared" si="36"/>
        <v>2.8</v>
      </c>
      <c r="T41" s="3">
        <f t="shared" si="37"/>
        <v>3.2</v>
      </c>
      <c r="U41" s="3">
        <f>ROUND(K41/25+P41/25,0)</f>
        <v>6</v>
      </c>
      <c r="V41" s="16" t="s">
        <v>38</v>
      </c>
      <c r="W41" s="5"/>
      <c r="X41" s="3"/>
      <c r="Y41" s="4"/>
      <c r="Z41" s="5"/>
      <c r="AA41" s="3"/>
      <c r="AB41" s="4"/>
      <c r="AC41" s="5"/>
      <c r="AD41" s="3"/>
      <c r="AE41" s="4"/>
      <c r="AF41" s="14">
        <v>70</v>
      </c>
      <c r="AG41" s="3">
        <v>81</v>
      </c>
      <c r="AH41" s="16">
        <v>6</v>
      </c>
      <c r="AI41" s="5"/>
      <c r="AJ41" s="3"/>
      <c r="AK41" s="4"/>
      <c r="AL41" s="14"/>
      <c r="AM41" s="3"/>
      <c r="AN41" s="16"/>
      <c r="AO41" s="5"/>
      <c r="AP41" s="3"/>
      <c r="AQ41" s="4"/>
      <c r="AS41" s="139" t="str">
        <f t="shared" si="39"/>
        <v>OK</v>
      </c>
      <c r="AT41" s="138" t="str">
        <f t="shared" si="40"/>
        <v>OK</v>
      </c>
      <c r="AU41" s="140" t="str">
        <f t="shared" si="41"/>
        <v>OK</v>
      </c>
    </row>
    <row r="42" spans="1:47" x14ac:dyDescent="0.25">
      <c r="A42" s="182">
        <v>10</v>
      </c>
      <c r="B42" s="171" t="s">
        <v>116</v>
      </c>
      <c r="C42" s="91" t="s">
        <v>117</v>
      </c>
      <c r="D42" s="92" t="s">
        <v>115</v>
      </c>
      <c r="E42" s="95">
        <v>25</v>
      </c>
      <c r="F42" s="89"/>
      <c r="G42" s="89">
        <v>60</v>
      </c>
      <c r="H42" s="89"/>
      <c r="I42" s="3"/>
      <c r="J42" s="3"/>
      <c r="K42" s="2">
        <f t="shared" si="31"/>
        <v>85</v>
      </c>
      <c r="L42" s="3">
        <f>ROUND(K42*0.1,0)</f>
        <v>9</v>
      </c>
      <c r="M42" s="3">
        <f>ROUND((E42/K42)*K42*0.5,0)+4</f>
        <v>17</v>
      </c>
      <c r="N42" s="3">
        <f>ROUND(((F42+G42+H42+I42)/K42)*K42*0.6,0)+8</f>
        <v>44</v>
      </c>
      <c r="O42" s="3">
        <f t="shared" si="43"/>
        <v>17</v>
      </c>
      <c r="P42" s="2">
        <f t="shared" si="33"/>
        <v>87</v>
      </c>
      <c r="Q42" s="3">
        <f t="shared" si="34"/>
        <v>1.7</v>
      </c>
      <c r="R42" s="3">
        <f t="shared" si="35"/>
        <v>5.3</v>
      </c>
      <c r="S42" s="3">
        <f t="shared" si="36"/>
        <v>3.5</v>
      </c>
      <c r="T42" s="3">
        <f t="shared" si="37"/>
        <v>3.5</v>
      </c>
      <c r="U42" s="3">
        <f t="shared" si="38"/>
        <v>7</v>
      </c>
      <c r="V42" s="16" t="s">
        <v>38</v>
      </c>
      <c r="W42" s="5"/>
      <c r="X42" s="3"/>
      <c r="Y42" s="4"/>
      <c r="Z42" s="5"/>
      <c r="AA42" s="3"/>
      <c r="AB42" s="4"/>
      <c r="AC42" s="5"/>
      <c r="AD42" s="3"/>
      <c r="AE42" s="4"/>
      <c r="AF42" s="14"/>
      <c r="AG42" s="3"/>
      <c r="AH42" s="16"/>
      <c r="AI42" s="5">
        <v>85</v>
      </c>
      <c r="AJ42" s="3">
        <v>87</v>
      </c>
      <c r="AK42" s="4">
        <v>7</v>
      </c>
      <c r="AL42" s="14"/>
      <c r="AM42" s="3"/>
      <c r="AN42" s="16"/>
      <c r="AO42" s="5"/>
      <c r="AP42" s="3"/>
      <c r="AQ42" s="4"/>
      <c r="AS42" s="139" t="str">
        <f t="shared" si="39"/>
        <v>OK</v>
      </c>
      <c r="AT42" s="138" t="str">
        <f t="shared" si="40"/>
        <v>OK</v>
      </c>
      <c r="AU42" s="140" t="str">
        <f t="shared" si="41"/>
        <v>OK</v>
      </c>
    </row>
    <row r="43" spans="1:47" x14ac:dyDescent="0.25">
      <c r="A43" s="182">
        <v>11</v>
      </c>
      <c r="B43" s="171" t="s">
        <v>118</v>
      </c>
      <c r="C43" s="91" t="s">
        <v>119</v>
      </c>
      <c r="D43" s="92" t="s">
        <v>120</v>
      </c>
      <c r="E43" s="95">
        <v>30</v>
      </c>
      <c r="F43" s="89"/>
      <c r="G43" s="89">
        <v>45</v>
      </c>
      <c r="H43" s="89"/>
      <c r="I43" s="3"/>
      <c r="J43" s="3"/>
      <c r="K43" s="2">
        <f t="shared" si="31"/>
        <v>75</v>
      </c>
      <c r="L43" s="3">
        <f>ROUND(K43*0.1,0)-3</f>
        <v>5</v>
      </c>
      <c r="M43" s="3">
        <f>ROUND((E43/K43)*K43*0.5,0)-3</f>
        <v>12</v>
      </c>
      <c r="N43" s="3">
        <f>ROUND(((F43+G43+H43+I43)/K43)*K43*0.6,0)-5</f>
        <v>22</v>
      </c>
      <c r="O43" s="3">
        <f t="shared" si="43"/>
        <v>15</v>
      </c>
      <c r="P43" s="2">
        <f t="shared" si="33"/>
        <v>54</v>
      </c>
      <c r="Q43" s="3">
        <f t="shared" si="34"/>
        <v>1.6</v>
      </c>
      <c r="R43" s="3">
        <f t="shared" si="35"/>
        <v>3.4</v>
      </c>
      <c r="S43" s="3">
        <f t="shared" si="36"/>
        <v>2.8</v>
      </c>
      <c r="T43" s="3">
        <f t="shared" si="37"/>
        <v>2.2000000000000002</v>
      </c>
      <c r="U43" s="3">
        <f>ROUND(K43/25+P43/25,0)</f>
        <v>5</v>
      </c>
      <c r="V43" s="16" t="s">
        <v>38</v>
      </c>
      <c r="W43" s="5"/>
      <c r="X43" s="3"/>
      <c r="Y43" s="4"/>
      <c r="Z43" s="5"/>
      <c r="AA43" s="3"/>
      <c r="AB43" s="4"/>
      <c r="AC43" s="5">
        <v>75</v>
      </c>
      <c r="AD43" s="3">
        <v>54</v>
      </c>
      <c r="AE43" s="4">
        <v>5</v>
      </c>
      <c r="AF43" s="14"/>
      <c r="AG43" s="3"/>
      <c r="AH43" s="16"/>
      <c r="AI43" s="5"/>
      <c r="AJ43" s="3"/>
      <c r="AK43" s="4"/>
      <c r="AL43" s="14"/>
      <c r="AM43" s="3"/>
      <c r="AN43" s="16"/>
      <c r="AO43" s="5"/>
      <c r="AP43" s="3"/>
      <c r="AQ43" s="4"/>
      <c r="AS43" s="139" t="str">
        <f t="shared" si="39"/>
        <v>OK</v>
      </c>
      <c r="AT43" s="138" t="str">
        <f t="shared" si="40"/>
        <v>OK</v>
      </c>
      <c r="AU43" s="140" t="str">
        <f t="shared" si="41"/>
        <v>OK</v>
      </c>
    </row>
    <row r="44" spans="1:47" x14ac:dyDescent="0.25">
      <c r="A44" s="182">
        <v>12</v>
      </c>
      <c r="B44" s="171" t="s">
        <v>121</v>
      </c>
      <c r="C44" s="91" t="s">
        <v>122</v>
      </c>
      <c r="D44" s="92" t="s">
        <v>123</v>
      </c>
      <c r="E44" s="95">
        <v>30</v>
      </c>
      <c r="F44" s="89"/>
      <c r="G44" s="89">
        <v>30</v>
      </c>
      <c r="H44" s="89"/>
      <c r="I44" s="3"/>
      <c r="J44" s="3"/>
      <c r="K44" s="2">
        <f t="shared" si="31"/>
        <v>60</v>
      </c>
      <c r="L44" s="3">
        <f t="shared" si="32"/>
        <v>6</v>
      </c>
      <c r="M44" s="3">
        <f t="shared" si="42"/>
        <v>15</v>
      </c>
      <c r="N44" s="3">
        <f>ROUND(((F44+G44+H44+I44)/K44)*K44*0.6,0)</f>
        <v>18</v>
      </c>
      <c r="O44" s="3">
        <f t="shared" si="43"/>
        <v>0</v>
      </c>
      <c r="P44" s="2">
        <f t="shared" si="33"/>
        <v>39</v>
      </c>
      <c r="Q44" s="3">
        <f t="shared" si="34"/>
        <v>1.8</v>
      </c>
      <c r="R44" s="3">
        <f t="shared" si="35"/>
        <v>2.2000000000000002</v>
      </c>
      <c r="S44" s="3">
        <f t="shared" si="36"/>
        <v>2.4</v>
      </c>
      <c r="T44" s="3">
        <f t="shared" si="37"/>
        <v>1.6</v>
      </c>
      <c r="U44" s="3">
        <f t="shared" si="38"/>
        <v>4</v>
      </c>
      <c r="V44" s="16"/>
      <c r="W44" s="5"/>
      <c r="X44" s="3"/>
      <c r="Y44" s="4"/>
      <c r="Z44" s="5"/>
      <c r="AA44" s="3"/>
      <c r="AB44" s="4"/>
      <c r="AC44" s="5"/>
      <c r="AD44" s="3"/>
      <c r="AE44" s="4"/>
      <c r="AF44" s="195">
        <v>60</v>
      </c>
      <c r="AG44" s="196">
        <v>39</v>
      </c>
      <c r="AH44" s="197">
        <v>4</v>
      </c>
      <c r="AI44" s="5"/>
      <c r="AJ44" s="3"/>
      <c r="AK44" s="4"/>
      <c r="AL44" s="14"/>
      <c r="AM44" s="3"/>
      <c r="AN44" s="16"/>
      <c r="AO44" s="5"/>
      <c r="AP44" s="3"/>
      <c r="AQ44" s="4"/>
      <c r="AS44" s="139" t="str">
        <f t="shared" si="39"/>
        <v>OK</v>
      </c>
      <c r="AT44" s="138" t="str">
        <f t="shared" si="40"/>
        <v>OK</v>
      </c>
      <c r="AU44" s="140" t="str">
        <f t="shared" si="41"/>
        <v>OK</v>
      </c>
    </row>
    <row r="45" spans="1:47" x14ac:dyDescent="0.25">
      <c r="A45" s="182">
        <v>13</v>
      </c>
      <c r="B45" s="171" t="s">
        <v>124</v>
      </c>
      <c r="C45" s="91" t="s">
        <v>125</v>
      </c>
      <c r="D45" s="92" t="s">
        <v>123</v>
      </c>
      <c r="E45" s="95">
        <v>26</v>
      </c>
      <c r="F45" s="89"/>
      <c r="G45" s="89">
        <v>45</v>
      </c>
      <c r="H45" s="89"/>
      <c r="I45" s="3"/>
      <c r="J45" s="3"/>
      <c r="K45" s="2">
        <f t="shared" si="31"/>
        <v>71</v>
      </c>
      <c r="L45" s="3">
        <f t="shared" si="32"/>
        <v>7</v>
      </c>
      <c r="M45" s="3">
        <f t="shared" si="42"/>
        <v>13</v>
      </c>
      <c r="N45" s="3">
        <f>ROUND(((F45+G45+H45+I45)/K45)*K45*0.6,0)+10</f>
        <v>37</v>
      </c>
      <c r="O45" s="3">
        <f t="shared" si="43"/>
        <v>14</v>
      </c>
      <c r="P45" s="2">
        <f t="shared" si="33"/>
        <v>71</v>
      </c>
      <c r="Q45" s="3">
        <f t="shared" si="34"/>
        <v>1.6</v>
      </c>
      <c r="R45" s="3">
        <f t="shared" si="35"/>
        <v>4.4000000000000004</v>
      </c>
      <c r="S45" s="3">
        <f t="shared" si="36"/>
        <v>3.2</v>
      </c>
      <c r="T45" s="3">
        <f t="shared" si="37"/>
        <v>2.8</v>
      </c>
      <c r="U45" s="3">
        <f t="shared" si="38"/>
        <v>6</v>
      </c>
      <c r="V45" s="16" t="s">
        <v>38</v>
      </c>
      <c r="W45" s="5"/>
      <c r="X45" s="3"/>
      <c r="Y45" s="4"/>
      <c r="Z45" s="5"/>
      <c r="AA45" s="3"/>
      <c r="AB45" s="4"/>
      <c r="AC45" s="5"/>
      <c r="AD45" s="3"/>
      <c r="AE45" s="4"/>
      <c r="AF45" s="195"/>
      <c r="AG45" s="196"/>
      <c r="AH45" s="197"/>
      <c r="AI45" s="5">
        <v>71</v>
      </c>
      <c r="AJ45" s="3">
        <v>71</v>
      </c>
      <c r="AK45" s="4">
        <v>6</v>
      </c>
      <c r="AL45" s="14"/>
      <c r="AM45" s="3"/>
      <c r="AN45" s="16"/>
      <c r="AO45" s="5"/>
      <c r="AP45" s="3"/>
      <c r="AQ45" s="4"/>
      <c r="AS45" s="139" t="str">
        <f t="shared" si="39"/>
        <v>OK</v>
      </c>
      <c r="AT45" s="138" t="str">
        <f t="shared" si="40"/>
        <v>OK</v>
      </c>
      <c r="AU45" s="140" t="str">
        <f t="shared" si="41"/>
        <v>OK</v>
      </c>
    </row>
    <row r="46" spans="1:47" x14ac:dyDescent="0.25">
      <c r="A46" s="182">
        <v>14</v>
      </c>
      <c r="B46" s="171" t="s">
        <v>126</v>
      </c>
      <c r="C46" s="91" t="s">
        <v>127</v>
      </c>
      <c r="D46" s="92" t="s">
        <v>85</v>
      </c>
      <c r="E46" s="95">
        <v>15</v>
      </c>
      <c r="F46" s="89"/>
      <c r="G46" s="89">
        <v>30</v>
      </c>
      <c r="H46" s="89"/>
      <c r="I46" s="3"/>
      <c r="J46" s="3"/>
      <c r="K46" s="2">
        <f t="shared" si="31"/>
        <v>45</v>
      </c>
      <c r="L46" s="3">
        <f>ROUND(K46*0.1,0)</f>
        <v>5</v>
      </c>
      <c r="M46" s="3">
        <f>ROUND((E46/K46)*K46*0.5,0)</f>
        <v>8</v>
      </c>
      <c r="N46" s="3">
        <f>ROUND(((F46+G46+H46+I46)/K46)*K46*0.6,0)</f>
        <v>18</v>
      </c>
      <c r="O46" s="3">
        <f t="shared" si="43"/>
        <v>0</v>
      </c>
      <c r="P46" s="2">
        <f t="shared" si="33"/>
        <v>31</v>
      </c>
      <c r="Q46" s="3">
        <f t="shared" si="34"/>
        <v>0.9</v>
      </c>
      <c r="R46" s="3">
        <f t="shared" si="35"/>
        <v>2.1</v>
      </c>
      <c r="S46" s="3">
        <f t="shared" si="36"/>
        <v>1.8</v>
      </c>
      <c r="T46" s="3">
        <f t="shared" si="37"/>
        <v>1.2</v>
      </c>
      <c r="U46" s="3">
        <f t="shared" si="38"/>
        <v>3</v>
      </c>
      <c r="V46" s="16"/>
      <c r="W46" s="5"/>
      <c r="X46" s="3"/>
      <c r="Y46" s="4"/>
      <c r="Z46" s="5"/>
      <c r="AA46" s="3"/>
      <c r="AB46" s="4"/>
      <c r="AC46" s="5">
        <v>45</v>
      </c>
      <c r="AD46" s="3">
        <v>31</v>
      </c>
      <c r="AE46" s="4">
        <v>3</v>
      </c>
      <c r="AF46" s="14"/>
      <c r="AG46" s="3"/>
      <c r="AH46" s="16"/>
      <c r="AI46" s="5"/>
      <c r="AJ46" s="3"/>
      <c r="AK46" s="4"/>
      <c r="AL46" s="14"/>
      <c r="AM46" s="3"/>
      <c r="AN46" s="16"/>
      <c r="AO46" s="5"/>
      <c r="AP46" s="3"/>
      <c r="AQ46" s="4"/>
      <c r="AS46" s="139" t="str">
        <f t="shared" si="39"/>
        <v>OK</v>
      </c>
      <c r="AT46" s="138" t="str">
        <f t="shared" si="40"/>
        <v>OK</v>
      </c>
      <c r="AU46" s="140" t="str">
        <f t="shared" si="41"/>
        <v>OK</v>
      </c>
    </row>
    <row r="47" spans="1:47" x14ac:dyDescent="0.25">
      <c r="A47" s="182">
        <v>15</v>
      </c>
      <c r="B47" s="171" t="s">
        <v>128</v>
      </c>
      <c r="C47" s="91" t="s">
        <v>129</v>
      </c>
      <c r="D47" s="92" t="s">
        <v>85</v>
      </c>
      <c r="E47" s="95">
        <v>15</v>
      </c>
      <c r="F47" s="89"/>
      <c r="G47" s="89">
        <v>30</v>
      </c>
      <c r="H47" s="89"/>
      <c r="I47" s="3"/>
      <c r="J47" s="3"/>
      <c r="K47" s="2">
        <f t="shared" si="31"/>
        <v>45</v>
      </c>
      <c r="L47" s="3">
        <f t="shared" si="32"/>
        <v>5</v>
      </c>
      <c r="M47" s="3">
        <f t="shared" si="42"/>
        <v>8</v>
      </c>
      <c r="N47" s="3">
        <f>ROUND(((F47+G47+H47+I47)/K47)*K47*0.6,0)</f>
        <v>18</v>
      </c>
      <c r="O47" s="3">
        <f t="shared" si="43"/>
        <v>0</v>
      </c>
      <c r="P47" s="2">
        <f t="shared" si="33"/>
        <v>31</v>
      </c>
      <c r="Q47" s="3">
        <f t="shared" si="34"/>
        <v>0.9</v>
      </c>
      <c r="R47" s="3">
        <f t="shared" si="35"/>
        <v>2.1</v>
      </c>
      <c r="S47" s="3">
        <f t="shared" si="36"/>
        <v>1.8</v>
      </c>
      <c r="T47" s="3">
        <f t="shared" si="37"/>
        <v>1.2</v>
      </c>
      <c r="U47" s="3">
        <f t="shared" si="38"/>
        <v>3</v>
      </c>
      <c r="V47" s="16"/>
      <c r="W47" s="5"/>
      <c r="X47" s="3"/>
      <c r="Y47" s="4"/>
      <c r="Z47" s="5">
        <v>45</v>
      </c>
      <c r="AA47" s="3">
        <v>31</v>
      </c>
      <c r="AB47" s="4">
        <v>3</v>
      </c>
      <c r="AC47" s="193"/>
      <c r="AD47" s="191"/>
      <c r="AE47" s="194"/>
      <c r="AF47" s="14"/>
      <c r="AG47" s="3"/>
      <c r="AH47" s="16"/>
      <c r="AI47" s="5"/>
      <c r="AJ47" s="3"/>
      <c r="AK47" s="4"/>
      <c r="AL47" s="14"/>
      <c r="AM47" s="3"/>
      <c r="AN47" s="16"/>
      <c r="AO47" s="5"/>
      <c r="AP47" s="3"/>
      <c r="AQ47" s="4"/>
      <c r="AS47" s="139" t="str">
        <f t="shared" si="39"/>
        <v>OK</v>
      </c>
      <c r="AT47" s="138" t="str">
        <f t="shared" si="40"/>
        <v>OK</v>
      </c>
      <c r="AU47" s="140" t="str">
        <f t="shared" si="41"/>
        <v>OK</v>
      </c>
    </row>
    <row r="48" spans="1:47" x14ac:dyDescent="0.25">
      <c r="A48" s="182">
        <v>16</v>
      </c>
      <c r="B48" s="171" t="s">
        <v>130</v>
      </c>
      <c r="C48" s="91" t="s">
        <v>131</v>
      </c>
      <c r="D48" s="92" t="s">
        <v>85</v>
      </c>
      <c r="E48" s="95">
        <v>20</v>
      </c>
      <c r="F48" s="89"/>
      <c r="G48" s="89">
        <v>25</v>
      </c>
      <c r="H48" s="89"/>
      <c r="I48" s="3"/>
      <c r="J48" s="3"/>
      <c r="K48" s="2">
        <f t="shared" si="31"/>
        <v>45</v>
      </c>
      <c r="L48" s="3">
        <f t="shared" si="32"/>
        <v>5</v>
      </c>
      <c r="M48" s="3">
        <f>ROUND((E48/K48)*K48*0.5,0)+5</f>
        <v>15</v>
      </c>
      <c r="N48" s="3">
        <f>ROUND(((F48+G48+H48+I48)/K48)*K48*0.6,0)+15</f>
        <v>30</v>
      </c>
      <c r="O48" s="3">
        <f t="shared" si="43"/>
        <v>0</v>
      </c>
      <c r="P48" s="2">
        <f t="shared" si="33"/>
        <v>50</v>
      </c>
      <c r="Q48" s="3">
        <f t="shared" si="34"/>
        <v>1.5</v>
      </c>
      <c r="R48" s="3">
        <f t="shared" si="35"/>
        <v>2.5</v>
      </c>
      <c r="S48" s="3">
        <f t="shared" si="36"/>
        <v>2</v>
      </c>
      <c r="T48" s="3">
        <f t="shared" si="37"/>
        <v>2</v>
      </c>
      <c r="U48" s="3">
        <f t="shared" si="38"/>
        <v>4</v>
      </c>
      <c r="V48" s="16"/>
      <c r="W48" s="5"/>
      <c r="X48" s="3"/>
      <c r="Y48" s="4"/>
      <c r="Z48" s="5"/>
      <c r="AA48" s="3"/>
      <c r="AB48" s="4"/>
      <c r="AC48" s="193"/>
      <c r="AD48" s="191"/>
      <c r="AE48" s="194"/>
      <c r="AF48" s="14">
        <v>45</v>
      </c>
      <c r="AG48" s="3">
        <v>50</v>
      </c>
      <c r="AH48" s="16">
        <v>4</v>
      </c>
      <c r="AI48" s="5"/>
      <c r="AJ48" s="3"/>
      <c r="AK48" s="4"/>
      <c r="AL48" s="14"/>
      <c r="AM48" s="3"/>
      <c r="AN48" s="16"/>
      <c r="AO48" s="5"/>
      <c r="AP48" s="3"/>
      <c r="AQ48" s="4"/>
      <c r="AS48" s="139" t="str">
        <f t="shared" si="39"/>
        <v>OK</v>
      </c>
      <c r="AT48" s="138" t="str">
        <f t="shared" si="40"/>
        <v>OK</v>
      </c>
      <c r="AU48" s="140" t="str">
        <f t="shared" si="41"/>
        <v>OK</v>
      </c>
    </row>
    <row r="49" spans="1:47" x14ac:dyDescent="0.25">
      <c r="A49" s="182">
        <v>17</v>
      </c>
      <c r="B49" s="171" t="s">
        <v>132</v>
      </c>
      <c r="C49" s="91" t="s">
        <v>133</v>
      </c>
      <c r="D49" s="92" t="s">
        <v>120</v>
      </c>
      <c r="E49" s="95">
        <v>20</v>
      </c>
      <c r="F49" s="89"/>
      <c r="G49" s="89">
        <v>25</v>
      </c>
      <c r="H49" s="89"/>
      <c r="I49" s="3"/>
      <c r="J49" s="3"/>
      <c r="K49" s="2">
        <f t="shared" si="31"/>
        <v>45</v>
      </c>
      <c r="L49" s="3">
        <f t="shared" si="32"/>
        <v>5</v>
      </c>
      <c r="M49" s="3">
        <f t="shared" si="42"/>
        <v>10</v>
      </c>
      <c r="N49" s="3">
        <f>ROUND(((F49+G49+H49+I49)/K49)*K49*0.6,0)</f>
        <v>15</v>
      </c>
      <c r="O49" s="3">
        <f t="shared" si="43"/>
        <v>0</v>
      </c>
      <c r="P49" s="2">
        <f t="shared" si="33"/>
        <v>30</v>
      </c>
      <c r="Q49" s="3">
        <f t="shared" si="34"/>
        <v>1.2</v>
      </c>
      <c r="R49" s="3">
        <f t="shared" si="35"/>
        <v>1.8</v>
      </c>
      <c r="S49" s="3">
        <f t="shared" si="36"/>
        <v>1.8</v>
      </c>
      <c r="T49" s="3">
        <f t="shared" si="37"/>
        <v>1.2</v>
      </c>
      <c r="U49" s="3">
        <f t="shared" si="38"/>
        <v>3</v>
      </c>
      <c r="V49" s="16"/>
      <c r="W49" s="5"/>
      <c r="X49" s="3"/>
      <c r="Y49" s="4"/>
      <c r="Z49" s="5"/>
      <c r="AA49" s="3"/>
      <c r="AB49" s="4"/>
      <c r="AC49" s="193"/>
      <c r="AD49" s="191"/>
      <c r="AE49" s="194"/>
      <c r="AF49" s="190"/>
      <c r="AG49" s="191"/>
      <c r="AH49" s="192"/>
      <c r="AI49" s="5"/>
      <c r="AJ49" s="3"/>
      <c r="AK49" s="4"/>
      <c r="AL49" s="14">
        <v>45</v>
      </c>
      <c r="AM49" s="3">
        <v>30</v>
      </c>
      <c r="AN49" s="16">
        <v>3</v>
      </c>
      <c r="AO49" s="5"/>
      <c r="AP49" s="3"/>
      <c r="AQ49" s="4"/>
      <c r="AS49" s="139" t="str">
        <f t="shared" si="39"/>
        <v>OK</v>
      </c>
      <c r="AT49" s="138" t="str">
        <f t="shared" si="40"/>
        <v>OK</v>
      </c>
      <c r="AU49" s="140" t="str">
        <f t="shared" si="41"/>
        <v>OK</v>
      </c>
    </row>
    <row r="50" spans="1:47" x14ac:dyDescent="0.25">
      <c r="A50" s="182">
        <v>18</v>
      </c>
      <c r="B50" s="171" t="s">
        <v>134</v>
      </c>
      <c r="C50" s="91" t="s">
        <v>135</v>
      </c>
      <c r="D50" s="92" t="s">
        <v>112</v>
      </c>
      <c r="E50" s="14">
        <v>30</v>
      </c>
      <c r="F50" s="3"/>
      <c r="G50" s="3">
        <v>30</v>
      </c>
      <c r="H50" s="3"/>
      <c r="I50" s="3"/>
      <c r="J50" s="3"/>
      <c r="K50" s="2">
        <f t="shared" si="31"/>
        <v>60</v>
      </c>
      <c r="L50" s="3">
        <f t="shared" si="32"/>
        <v>6</v>
      </c>
      <c r="M50" s="3">
        <f t="shared" si="42"/>
        <v>15</v>
      </c>
      <c r="N50" s="3">
        <f>ROUND(((F50+G50+H50+I50)/K50)*K50*0.6,0)</f>
        <v>18</v>
      </c>
      <c r="O50" s="3">
        <f t="shared" si="43"/>
        <v>12</v>
      </c>
      <c r="P50" s="2">
        <f t="shared" si="33"/>
        <v>51</v>
      </c>
      <c r="Q50" s="3">
        <f t="shared" si="34"/>
        <v>1.6</v>
      </c>
      <c r="R50" s="3">
        <f t="shared" si="35"/>
        <v>2.4</v>
      </c>
      <c r="S50" s="3">
        <f t="shared" si="36"/>
        <v>2</v>
      </c>
      <c r="T50" s="3">
        <f t="shared" si="37"/>
        <v>2</v>
      </c>
      <c r="U50" s="3">
        <f t="shared" si="38"/>
        <v>4</v>
      </c>
      <c r="V50" s="16" t="s">
        <v>38</v>
      </c>
      <c r="W50" s="5"/>
      <c r="X50" s="3"/>
      <c r="Y50" s="4"/>
      <c r="Z50" s="5"/>
      <c r="AA50" s="3"/>
      <c r="AB50" s="4"/>
      <c r="AC50" s="5">
        <v>60</v>
      </c>
      <c r="AD50" s="3">
        <v>51</v>
      </c>
      <c r="AE50" s="4">
        <v>4</v>
      </c>
      <c r="AF50" s="190"/>
      <c r="AG50" s="191"/>
      <c r="AH50" s="192"/>
      <c r="AI50" s="5"/>
      <c r="AJ50" s="3"/>
      <c r="AK50" s="4"/>
      <c r="AL50" s="14"/>
      <c r="AM50" s="3"/>
      <c r="AN50" s="16"/>
      <c r="AO50" s="5"/>
      <c r="AP50" s="3"/>
      <c r="AQ50" s="4"/>
      <c r="AS50" s="139" t="str">
        <f t="shared" si="39"/>
        <v>OK</v>
      </c>
      <c r="AT50" s="138" t="str">
        <f t="shared" si="40"/>
        <v>OK</v>
      </c>
      <c r="AU50" s="140" t="str">
        <f t="shared" si="41"/>
        <v>OK</v>
      </c>
    </row>
    <row r="51" spans="1:47" x14ac:dyDescent="0.25">
      <c r="A51" s="182">
        <v>19</v>
      </c>
      <c r="B51" s="171" t="s">
        <v>136</v>
      </c>
      <c r="C51" s="91" t="s">
        <v>137</v>
      </c>
      <c r="D51" s="92" t="s">
        <v>72</v>
      </c>
      <c r="E51" s="14">
        <v>15</v>
      </c>
      <c r="F51" s="3"/>
      <c r="G51" s="3">
        <v>30</v>
      </c>
      <c r="H51" s="3"/>
      <c r="I51" s="3"/>
      <c r="J51" s="3"/>
      <c r="K51" s="2">
        <f t="shared" si="31"/>
        <v>45</v>
      </c>
      <c r="L51" s="3">
        <f t="shared" si="32"/>
        <v>5</v>
      </c>
      <c r="M51" s="3">
        <f t="shared" si="42"/>
        <v>8</v>
      </c>
      <c r="N51" s="3">
        <f>ROUND(((F51+G51+H51+I51)/K51)*K51*0.6,0)</f>
        <v>18</v>
      </c>
      <c r="O51" s="3">
        <f t="shared" si="43"/>
        <v>0</v>
      </c>
      <c r="P51" s="2">
        <f t="shared" si="33"/>
        <v>31</v>
      </c>
      <c r="Q51" s="3">
        <f t="shared" si="34"/>
        <v>0.9</v>
      </c>
      <c r="R51" s="3">
        <f t="shared" si="35"/>
        <v>2.1</v>
      </c>
      <c r="S51" s="3">
        <f t="shared" si="36"/>
        <v>1.8</v>
      </c>
      <c r="T51" s="3">
        <f t="shared" si="37"/>
        <v>1.2</v>
      </c>
      <c r="U51" s="3">
        <f t="shared" si="38"/>
        <v>3</v>
      </c>
      <c r="V51" s="16"/>
      <c r="W51" s="5"/>
      <c r="X51" s="3"/>
      <c r="Y51" s="4"/>
      <c r="Z51" s="5"/>
      <c r="AA51" s="3"/>
      <c r="AB51" s="4"/>
      <c r="AC51" s="5">
        <v>45</v>
      </c>
      <c r="AD51" s="3">
        <v>31</v>
      </c>
      <c r="AE51" s="4">
        <v>3</v>
      </c>
      <c r="AF51" s="190"/>
      <c r="AG51" s="191"/>
      <c r="AH51" s="192"/>
      <c r="AI51" s="5"/>
      <c r="AJ51" s="3"/>
      <c r="AK51" s="4"/>
      <c r="AL51" s="14"/>
      <c r="AM51" s="3"/>
      <c r="AN51" s="16"/>
      <c r="AO51" s="5"/>
      <c r="AP51" s="3"/>
      <c r="AQ51" s="4"/>
      <c r="AS51" s="139" t="str">
        <f t="shared" si="39"/>
        <v>OK</v>
      </c>
      <c r="AT51" s="138" t="str">
        <f t="shared" si="40"/>
        <v>OK</v>
      </c>
      <c r="AU51" s="140" t="str">
        <f t="shared" si="41"/>
        <v>OK</v>
      </c>
    </row>
    <row r="52" spans="1:47" ht="15.75" thickBot="1" x14ac:dyDescent="0.3">
      <c r="A52" s="182">
        <v>20</v>
      </c>
      <c r="B52" s="93" t="s">
        <v>138</v>
      </c>
      <c r="C52" s="93" t="s">
        <v>139</v>
      </c>
      <c r="D52" s="94" t="s">
        <v>140</v>
      </c>
      <c r="E52" s="15">
        <v>25</v>
      </c>
      <c r="F52" s="7"/>
      <c r="G52" s="7">
        <v>45</v>
      </c>
      <c r="H52" s="7"/>
      <c r="I52" s="7"/>
      <c r="J52" s="7"/>
      <c r="K52" s="2">
        <f t="shared" si="31"/>
        <v>70</v>
      </c>
      <c r="L52" s="7">
        <f t="shared" si="32"/>
        <v>7</v>
      </c>
      <c r="M52" s="7">
        <f>ROUND((E52/K52)*K52*0.5,0)</f>
        <v>13</v>
      </c>
      <c r="N52" s="7">
        <f>ROUND(((F52+G52+H52+I52)/K52)*K52*0.6,0)</f>
        <v>27</v>
      </c>
      <c r="O52" s="7">
        <f t="shared" si="43"/>
        <v>14</v>
      </c>
      <c r="P52" s="8">
        <f t="shared" si="33"/>
        <v>61</v>
      </c>
      <c r="Q52" s="7">
        <f t="shared" si="34"/>
        <v>1.5</v>
      </c>
      <c r="R52" s="7">
        <f t="shared" si="35"/>
        <v>3.5</v>
      </c>
      <c r="S52" s="3">
        <f t="shared" si="36"/>
        <v>2.6</v>
      </c>
      <c r="T52" s="3">
        <f t="shared" si="37"/>
        <v>2.4</v>
      </c>
      <c r="U52" s="7">
        <f t="shared" si="38"/>
        <v>5</v>
      </c>
      <c r="V52" s="17" t="s">
        <v>38</v>
      </c>
      <c r="W52" s="6"/>
      <c r="X52" s="7"/>
      <c r="Y52" s="9"/>
      <c r="Z52" s="6"/>
      <c r="AA52" s="7"/>
      <c r="AB52" s="9"/>
      <c r="AC52" s="6"/>
      <c r="AD52" s="7"/>
      <c r="AE52" s="9"/>
      <c r="AF52" s="15">
        <v>70</v>
      </c>
      <c r="AG52" s="7">
        <v>61</v>
      </c>
      <c r="AH52" s="17">
        <v>5</v>
      </c>
      <c r="AI52" s="6"/>
      <c r="AJ52" s="7"/>
      <c r="AK52" s="9"/>
      <c r="AL52" s="15"/>
      <c r="AM52" s="7"/>
      <c r="AN52" s="17"/>
      <c r="AO52" s="6"/>
      <c r="AP52" s="7"/>
      <c r="AQ52" s="9"/>
      <c r="AS52" s="139" t="str">
        <f t="shared" si="39"/>
        <v>OK</v>
      </c>
      <c r="AT52" s="138" t="str">
        <f t="shared" si="40"/>
        <v>OK</v>
      </c>
      <c r="AU52" s="140" t="str">
        <f t="shared" si="41"/>
        <v>OK</v>
      </c>
    </row>
    <row r="53" spans="1:47" x14ac:dyDescent="0.25">
      <c r="A53" s="31" t="s">
        <v>141</v>
      </c>
      <c r="B53" s="232" t="s">
        <v>142</v>
      </c>
      <c r="C53" s="233"/>
      <c r="D53" s="234"/>
      <c r="E53" s="35">
        <f>SUM(E54:E61)</f>
        <v>165</v>
      </c>
      <c r="F53" s="36">
        <f>SUM(F54:F61)</f>
        <v>0</v>
      </c>
      <c r="G53" s="36">
        <f>SUM(G54:G61)</f>
        <v>300</v>
      </c>
      <c r="H53" s="36">
        <f>SUM(H54:H61)</f>
        <v>0</v>
      </c>
      <c r="I53" s="36">
        <f>SUM(I54:I61)</f>
        <v>60</v>
      </c>
      <c r="J53" s="36"/>
      <c r="K53" s="36">
        <f t="shared" ref="K53" si="44">SUM(E53:I53)</f>
        <v>525</v>
      </c>
      <c r="L53" s="36">
        <f t="shared" ref="L53:AQ53" si="45">SUM(L54:L61)</f>
        <v>37</v>
      </c>
      <c r="M53" s="36">
        <f t="shared" si="45"/>
        <v>124</v>
      </c>
      <c r="N53" s="36">
        <f t="shared" si="45"/>
        <v>285</v>
      </c>
      <c r="O53" s="36">
        <f t="shared" si="45"/>
        <v>48</v>
      </c>
      <c r="P53" s="36">
        <f t="shared" si="45"/>
        <v>494</v>
      </c>
      <c r="Q53" s="36">
        <f t="shared" si="45"/>
        <v>11.7</v>
      </c>
      <c r="R53" s="36">
        <f t="shared" si="45"/>
        <v>29.3</v>
      </c>
      <c r="S53" s="36">
        <f t="shared" si="45"/>
        <v>21.2</v>
      </c>
      <c r="T53" s="36">
        <f t="shared" si="45"/>
        <v>19.8</v>
      </c>
      <c r="U53" s="36">
        <f>SUM(U54:U61)</f>
        <v>41</v>
      </c>
      <c r="V53" s="37"/>
      <c r="W53" s="102">
        <f t="shared" si="45"/>
        <v>0</v>
      </c>
      <c r="X53" s="36">
        <f t="shared" si="45"/>
        <v>0</v>
      </c>
      <c r="Y53" s="103">
        <f t="shared" si="45"/>
        <v>0</v>
      </c>
      <c r="Z53" s="102">
        <f t="shared" si="45"/>
        <v>0</v>
      </c>
      <c r="AA53" s="36">
        <f t="shared" si="45"/>
        <v>0</v>
      </c>
      <c r="AB53" s="103">
        <f t="shared" si="45"/>
        <v>0</v>
      </c>
      <c r="AC53" s="102">
        <f t="shared" si="45"/>
        <v>0</v>
      </c>
      <c r="AD53" s="36">
        <f t="shared" si="45"/>
        <v>0</v>
      </c>
      <c r="AE53" s="103">
        <f t="shared" si="45"/>
        <v>0</v>
      </c>
      <c r="AF53" s="35">
        <f t="shared" si="45"/>
        <v>0</v>
      </c>
      <c r="AG53" s="36">
        <f t="shared" si="45"/>
        <v>0</v>
      </c>
      <c r="AH53" s="109">
        <f t="shared" si="45"/>
        <v>0</v>
      </c>
      <c r="AI53" s="102">
        <f t="shared" si="45"/>
        <v>125</v>
      </c>
      <c r="AJ53" s="36">
        <f t="shared" si="45"/>
        <v>126</v>
      </c>
      <c r="AK53" s="103">
        <f t="shared" si="45"/>
        <v>10</v>
      </c>
      <c r="AL53" s="35">
        <f t="shared" si="45"/>
        <v>215</v>
      </c>
      <c r="AM53" s="36">
        <f t="shared" si="45"/>
        <v>160</v>
      </c>
      <c r="AN53" s="109">
        <f t="shared" si="45"/>
        <v>15</v>
      </c>
      <c r="AO53" s="102">
        <f t="shared" si="45"/>
        <v>185</v>
      </c>
      <c r="AP53" s="36">
        <f t="shared" si="45"/>
        <v>208</v>
      </c>
      <c r="AQ53" s="103">
        <f t="shared" si="45"/>
        <v>16</v>
      </c>
      <c r="AS53" s="147"/>
      <c r="AT53" s="148"/>
      <c r="AU53" s="149"/>
    </row>
    <row r="54" spans="1:47" x14ac:dyDescent="0.25">
      <c r="A54" s="185">
        <v>1</v>
      </c>
      <c r="B54" s="180" t="s">
        <v>143</v>
      </c>
      <c r="C54" s="48" t="s">
        <v>144</v>
      </c>
      <c r="D54" s="49" t="s">
        <v>145</v>
      </c>
      <c r="E54" s="50">
        <v>20</v>
      </c>
      <c r="F54" s="51"/>
      <c r="G54" s="51">
        <v>40</v>
      </c>
      <c r="H54" s="51"/>
      <c r="I54" s="51"/>
      <c r="J54" s="51"/>
      <c r="K54" s="52">
        <f t="shared" ref="K54:K61" si="46">SUM(E54:J54)</f>
        <v>60</v>
      </c>
      <c r="L54" s="51">
        <f t="shared" ref="L54:L61" si="47">ROUND(K54*0.07,0)</f>
        <v>4</v>
      </c>
      <c r="M54" s="51">
        <f>ROUND((E54/K54)*K54*0.5,0)+2</f>
        <v>12</v>
      </c>
      <c r="N54" s="51">
        <f>ROUND(((F54+G54+H54+I54)/K54)*K54*0.5,0)+4</f>
        <v>24</v>
      </c>
      <c r="O54" s="51">
        <f>IF(V54="E",ROUND(K54*0.2,0),0)</f>
        <v>0</v>
      </c>
      <c r="P54" s="52">
        <f t="shared" ref="P54:P61" si="48">SUM(L54:O54)</f>
        <v>40</v>
      </c>
      <c r="Q54" s="51">
        <f t="shared" ref="Q54:Q61" si="49">ROUND(U54*(E54+M54)/(K54+P54),1)</f>
        <v>1.3</v>
      </c>
      <c r="R54" s="51">
        <f t="shared" ref="R54:R61" si="50">U54-Q54</f>
        <v>2.7</v>
      </c>
      <c r="S54" s="48">
        <f t="shared" si="36"/>
        <v>2.4</v>
      </c>
      <c r="T54" s="48">
        <f t="shared" ref="T54:T61" si="51">ROUND((P54)/25,1)</f>
        <v>1.6</v>
      </c>
      <c r="U54" s="51">
        <f t="shared" ref="U54:U61" si="52">ROUND(K54/25+P54/25,0)</f>
        <v>4</v>
      </c>
      <c r="V54" s="53"/>
      <c r="W54" s="54"/>
      <c r="X54" s="48"/>
      <c r="Y54" s="49"/>
      <c r="Z54" s="54"/>
      <c r="AA54" s="48"/>
      <c r="AB54" s="49"/>
      <c r="AC54" s="54"/>
      <c r="AD54" s="48"/>
      <c r="AE54" s="49"/>
      <c r="AF54" s="55"/>
      <c r="AG54" s="48"/>
      <c r="AH54" s="56"/>
      <c r="AI54" s="54">
        <v>60</v>
      </c>
      <c r="AJ54" s="48">
        <v>40</v>
      </c>
      <c r="AK54" s="49">
        <v>4</v>
      </c>
      <c r="AL54" s="55"/>
      <c r="AM54" s="48"/>
      <c r="AN54" s="56"/>
      <c r="AO54" s="54"/>
      <c r="AP54" s="48"/>
      <c r="AQ54" s="49"/>
      <c r="AS54" s="139" t="str">
        <f t="shared" ref="AS54:AS61" si="53">IF(K54=W54+Z54+AC54+AF54+AI54+AL54+AO54,"OK","BŁĄD")</f>
        <v>OK</v>
      </c>
      <c r="AT54" s="138" t="str">
        <f t="shared" ref="AT54:AT61" si="54">IF(P54=X54+AA54+AD54+AG54+AJ54+AM54+AP54,"OK","BŁĄD")</f>
        <v>OK</v>
      </c>
      <c r="AU54" s="140" t="str">
        <f t="shared" ref="AU54:AU61" si="55">IF(U54=Y54+AB54+AE54+AH54+AK54+AN54+AQ54,"OK","BŁĄD")</f>
        <v>OK</v>
      </c>
    </row>
    <row r="55" spans="1:47" x14ac:dyDescent="0.25">
      <c r="A55" s="185">
        <v>2</v>
      </c>
      <c r="B55" s="180" t="s">
        <v>146</v>
      </c>
      <c r="C55" s="48" t="s">
        <v>147</v>
      </c>
      <c r="D55" s="49" t="s">
        <v>148</v>
      </c>
      <c r="E55" s="50">
        <v>20</v>
      </c>
      <c r="F55" s="51"/>
      <c r="G55" s="51">
        <v>30</v>
      </c>
      <c r="H55" s="51"/>
      <c r="I55" s="51">
        <v>15</v>
      </c>
      <c r="J55" s="51"/>
      <c r="K55" s="52">
        <f t="shared" si="46"/>
        <v>65</v>
      </c>
      <c r="L55" s="51">
        <f t="shared" si="47"/>
        <v>5</v>
      </c>
      <c r="M55" s="51">
        <f>ROUND((E55/K55)*K55*0.5,0)+10</f>
        <v>20</v>
      </c>
      <c r="N55" s="51">
        <f>ROUND(((F55+G55+H55+I55)/K55)*K55*0.5,0)+20</f>
        <v>43</v>
      </c>
      <c r="O55" s="51">
        <f>IF(V55="E",ROUND(K55*0.2,0),0)+3</f>
        <v>16</v>
      </c>
      <c r="P55" s="52">
        <f t="shared" si="48"/>
        <v>84</v>
      </c>
      <c r="Q55" s="51">
        <f t="shared" si="49"/>
        <v>1.6</v>
      </c>
      <c r="R55" s="51">
        <f t="shared" si="50"/>
        <v>4.4000000000000004</v>
      </c>
      <c r="S55" s="48">
        <f t="shared" si="36"/>
        <v>2.6</v>
      </c>
      <c r="T55" s="48">
        <f t="shared" si="51"/>
        <v>3.4</v>
      </c>
      <c r="U55" s="51">
        <f t="shared" si="52"/>
        <v>6</v>
      </c>
      <c r="V55" s="53" t="s">
        <v>38</v>
      </c>
      <c r="W55" s="54"/>
      <c r="X55" s="48"/>
      <c r="Y55" s="49"/>
      <c r="Z55" s="54"/>
      <c r="AA55" s="48"/>
      <c r="AB55" s="49"/>
      <c r="AC55" s="54"/>
      <c r="AD55" s="48"/>
      <c r="AE55" s="49"/>
      <c r="AF55" s="55"/>
      <c r="AG55" s="48"/>
      <c r="AH55" s="56"/>
      <c r="AI55" s="54"/>
      <c r="AJ55" s="48"/>
      <c r="AK55" s="49"/>
      <c r="AL55" s="55"/>
      <c r="AM55" s="48"/>
      <c r="AN55" s="56"/>
      <c r="AO55" s="54">
        <v>65</v>
      </c>
      <c r="AP55" s="48">
        <v>84</v>
      </c>
      <c r="AQ55" s="49">
        <v>6</v>
      </c>
      <c r="AS55" s="139" t="str">
        <f t="shared" si="53"/>
        <v>OK</v>
      </c>
      <c r="AT55" s="138" t="str">
        <f t="shared" si="54"/>
        <v>OK</v>
      </c>
      <c r="AU55" s="140" t="str">
        <f t="shared" si="55"/>
        <v>OK</v>
      </c>
    </row>
    <row r="56" spans="1:47" x14ac:dyDescent="0.25">
      <c r="A56" s="185">
        <v>3</v>
      </c>
      <c r="B56" s="180" t="s">
        <v>149</v>
      </c>
      <c r="C56" s="48" t="s">
        <v>150</v>
      </c>
      <c r="D56" s="49" t="s">
        <v>120</v>
      </c>
      <c r="E56" s="50">
        <v>25</v>
      </c>
      <c r="F56" s="51"/>
      <c r="G56" s="51">
        <v>40</v>
      </c>
      <c r="H56" s="51"/>
      <c r="I56" s="51"/>
      <c r="J56" s="51"/>
      <c r="K56" s="52">
        <f t="shared" si="46"/>
        <v>65</v>
      </c>
      <c r="L56" s="51">
        <f t="shared" si="47"/>
        <v>5</v>
      </c>
      <c r="M56" s="51">
        <f>ROUND((E56/K56)*K56*0.5,0)+7</f>
        <v>20</v>
      </c>
      <c r="N56" s="51">
        <f>ROUND(((F56+G56+H56+I56)/K56)*K56*0.5,0)+25</f>
        <v>45</v>
      </c>
      <c r="O56" s="51">
        <f>IF(V56="E",ROUND(K56*0.2,0),0)+3</f>
        <v>16</v>
      </c>
      <c r="P56" s="52">
        <f t="shared" si="48"/>
        <v>86</v>
      </c>
      <c r="Q56" s="51">
        <f t="shared" si="49"/>
        <v>1.8</v>
      </c>
      <c r="R56" s="51">
        <f t="shared" si="50"/>
        <v>4.2</v>
      </c>
      <c r="S56" s="48">
        <f t="shared" si="36"/>
        <v>2.6</v>
      </c>
      <c r="T56" s="48">
        <f t="shared" si="51"/>
        <v>3.4</v>
      </c>
      <c r="U56" s="51">
        <f t="shared" si="52"/>
        <v>6</v>
      </c>
      <c r="V56" s="53" t="s">
        <v>38</v>
      </c>
      <c r="W56" s="54"/>
      <c r="X56" s="48"/>
      <c r="Y56" s="49"/>
      <c r="Z56" s="54"/>
      <c r="AA56" s="48"/>
      <c r="AB56" s="49"/>
      <c r="AC56" s="54"/>
      <c r="AD56" s="48"/>
      <c r="AE56" s="49"/>
      <c r="AF56" s="55"/>
      <c r="AG56" s="48"/>
      <c r="AH56" s="56"/>
      <c r="AI56" s="54">
        <v>65</v>
      </c>
      <c r="AJ56" s="48">
        <v>86</v>
      </c>
      <c r="AK56" s="49">
        <v>6</v>
      </c>
      <c r="AL56" s="55"/>
      <c r="AM56" s="48"/>
      <c r="AN56" s="56"/>
      <c r="AO56" s="54"/>
      <c r="AP56" s="48"/>
      <c r="AQ56" s="49"/>
      <c r="AS56" s="139" t="str">
        <f t="shared" si="53"/>
        <v>OK</v>
      </c>
      <c r="AT56" s="138" t="str">
        <f t="shared" si="54"/>
        <v>OK</v>
      </c>
      <c r="AU56" s="140" t="str">
        <f t="shared" si="55"/>
        <v>OK</v>
      </c>
    </row>
    <row r="57" spans="1:47" x14ac:dyDescent="0.25">
      <c r="A57" s="185">
        <v>4</v>
      </c>
      <c r="B57" s="180" t="s">
        <v>151</v>
      </c>
      <c r="C57" s="48" t="s">
        <v>152</v>
      </c>
      <c r="D57" s="49" t="s">
        <v>153</v>
      </c>
      <c r="E57" s="50">
        <v>20</v>
      </c>
      <c r="F57" s="51"/>
      <c r="G57" s="51">
        <v>30</v>
      </c>
      <c r="H57" s="51"/>
      <c r="I57" s="51">
        <v>30</v>
      </c>
      <c r="J57" s="51"/>
      <c r="K57" s="52">
        <f t="shared" si="46"/>
        <v>80</v>
      </c>
      <c r="L57" s="51">
        <f t="shared" si="47"/>
        <v>6</v>
      </c>
      <c r="M57" s="51">
        <f>ROUND((E57/K57)*K57*0.5,0)</f>
        <v>10</v>
      </c>
      <c r="N57" s="51">
        <f>ROUND(((F57+G57+H57+I57)/K57)*K57*0.5,0)</f>
        <v>30</v>
      </c>
      <c r="O57" s="51">
        <f>IF(V57="E",ROUND(K57*0.2,0),0)</f>
        <v>0</v>
      </c>
      <c r="P57" s="52">
        <f t="shared" si="48"/>
        <v>46</v>
      </c>
      <c r="Q57" s="51">
        <f t="shared" si="49"/>
        <v>1.2</v>
      </c>
      <c r="R57" s="51">
        <f t="shared" si="50"/>
        <v>3.8</v>
      </c>
      <c r="S57" s="48">
        <f t="shared" si="36"/>
        <v>3.2</v>
      </c>
      <c r="T57" s="48">
        <f t="shared" si="51"/>
        <v>1.8</v>
      </c>
      <c r="U57" s="51">
        <f t="shared" si="52"/>
        <v>5</v>
      </c>
      <c r="V57" s="53"/>
      <c r="W57" s="54"/>
      <c r="X57" s="48"/>
      <c r="Y57" s="49"/>
      <c r="Z57" s="54"/>
      <c r="AA57" s="48"/>
      <c r="AB57" s="49"/>
      <c r="AC57" s="54"/>
      <c r="AD57" s="48"/>
      <c r="AE57" s="49"/>
      <c r="AF57" s="55"/>
      <c r="AG57" s="48"/>
      <c r="AH57" s="56"/>
      <c r="AI57" s="54"/>
      <c r="AJ57" s="48"/>
      <c r="AK57" s="49"/>
      <c r="AL57" s="55">
        <v>80</v>
      </c>
      <c r="AM57" s="48">
        <v>46</v>
      </c>
      <c r="AN57" s="56">
        <v>5</v>
      </c>
      <c r="AO57" s="54"/>
      <c r="AP57" s="48"/>
      <c r="AQ57" s="49"/>
      <c r="AS57" s="139" t="str">
        <f t="shared" si="53"/>
        <v>OK</v>
      </c>
      <c r="AT57" s="138" t="str">
        <f t="shared" si="54"/>
        <v>OK</v>
      </c>
      <c r="AU57" s="140" t="str">
        <f t="shared" si="55"/>
        <v>OK</v>
      </c>
    </row>
    <row r="58" spans="1:47" x14ac:dyDescent="0.25">
      <c r="A58" s="185">
        <v>5</v>
      </c>
      <c r="B58" s="180" t="s">
        <v>154</v>
      </c>
      <c r="C58" s="48" t="s">
        <v>155</v>
      </c>
      <c r="D58" s="49" t="s">
        <v>145</v>
      </c>
      <c r="E58" s="50">
        <v>20</v>
      </c>
      <c r="F58" s="51"/>
      <c r="G58" s="51">
        <v>40</v>
      </c>
      <c r="H58" s="51"/>
      <c r="I58" s="51">
        <v>15</v>
      </c>
      <c r="J58" s="51"/>
      <c r="K58" s="52">
        <f t="shared" si="46"/>
        <v>75</v>
      </c>
      <c r="L58" s="51">
        <f t="shared" si="47"/>
        <v>5</v>
      </c>
      <c r="M58" s="51">
        <f>ROUND((E58/K58)*K58*0.5,0)+5</f>
        <v>15</v>
      </c>
      <c r="N58" s="51">
        <f>ROUND(((F58+G58+H58+I58)/K58)*K58*0.5,0)+10</f>
        <v>38</v>
      </c>
      <c r="O58" s="51">
        <f>IF(V58="E",ROUND(K58*0.2,0),0)+1</f>
        <v>16</v>
      </c>
      <c r="P58" s="52">
        <f t="shared" si="48"/>
        <v>74</v>
      </c>
      <c r="Q58" s="51">
        <f t="shared" si="49"/>
        <v>1.4</v>
      </c>
      <c r="R58" s="51">
        <f t="shared" si="50"/>
        <v>4.5999999999999996</v>
      </c>
      <c r="S58" s="48">
        <f t="shared" si="36"/>
        <v>3</v>
      </c>
      <c r="T58" s="48">
        <f t="shared" si="51"/>
        <v>3</v>
      </c>
      <c r="U58" s="51">
        <f t="shared" si="52"/>
        <v>6</v>
      </c>
      <c r="V58" s="53" t="s">
        <v>38</v>
      </c>
      <c r="W58" s="54"/>
      <c r="X58" s="48"/>
      <c r="Y58" s="49"/>
      <c r="Z58" s="54"/>
      <c r="AA58" s="48"/>
      <c r="AB58" s="49"/>
      <c r="AC58" s="54"/>
      <c r="AD58" s="48"/>
      <c r="AE58" s="49"/>
      <c r="AF58" s="55"/>
      <c r="AG58" s="48"/>
      <c r="AH58" s="56"/>
      <c r="AI58" s="54"/>
      <c r="AJ58" s="48"/>
      <c r="AK58" s="49"/>
      <c r="AL58" s="55">
        <v>75</v>
      </c>
      <c r="AM58" s="48">
        <v>74</v>
      </c>
      <c r="AN58" s="56">
        <v>6</v>
      </c>
      <c r="AO58" s="54"/>
      <c r="AP58" s="48"/>
      <c r="AQ58" s="49"/>
      <c r="AS58" s="139" t="str">
        <f t="shared" si="53"/>
        <v>OK</v>
      </c>
      <c r="AT58" s="138" t="str">
        <f t="shared" si="54"/>
        <v>OK</v>
      </c>
      <c r="AU58" s="140" t="str">
        <f t="shared" si="55"/>
        <v>OK</v>
      </c>
    </row>
    <row r="59" spans="1:47" x14ac:dyDescent="0.25">
      <c r="A59" s="185">
        <v>6</v>
      </c>
      <c r="B59" s="180" t="s">
        <v>156</v>
      </c>
      <c r="C59" s="48" t="s">
        <v>157</v>
      </c>
      <c r="D59" s="49" t="s">
        <v>148</v>
      </c>
      <c r="E59" s="50">
        <v>20</v>
      </c>
      <c r="F59" s="51"/>
      <c r="G59" s="51">
        <v>40</v>
      </c>
      <c r="H59" s="51"/>
      <c r="I59" s="51"/>
      <c r="J59" s="51"/>
      <c r="K59" s="52">
        <f t="shared" si="46"/>
        <v>60</v>
      </c>
      <c r="L59" s="51">
        <f t="shared" si="47"/>
        <v>4</v>
      </c>
      <c r="M59" s="51">
        <f>ROUND((E59/K59)*K59*0.5,0)+1</f>
        <v>11</v>
      </c>
      <c r="N59" s="51">
        <f>ROUND(((F59+G59+H59+I59)/K59)*K59*0.5,0)+5</f>
        <v>25</v>
      </c>
      <c r="O59" s="51">
        <f>IF(V59="E",ROUND(K59*0.2,0),0)</f>
        <v>0</v>
      </c>
      <c r="P59" s="52">
        <f t="shared" si="48"/>
        <v>40</v>
      </c>
      <c r="Q59" s="51">
        <f t="shared" si="49"/>
        <v>1.2</v>
      </c>
      <c r="R59" s="51">
        <f t="shared" si="50"/>
        <v>2.8</v>
      </c>
      <c r="S59" s="48">
        <f t="shared" si="36"/>
        <v>2.4</v>
      </c>
      <c r="T59" s="48">
        <f t="shared" si="51"/>
        <v>1.6</v>
      </c>
      <c r="U59" s="51">
        <f t="shared" si="52"/>
        <v>4</v>
      </c>
      <c r="V59" s="53"/>
      <c r="W59" s="54"/>
      <c r="X59" s="48"/>
      <c r="Y59" s="49"/>
      <c r="Z59" s="54"/>
      <c r="AA59" s="48"/>
      <c r="AB59" s="49"/>
      <c r="AC59" s="54"/>
      <c r="AD59" s="48"/>
      <c r="AE59" s="49"/>
      <c r="AF59" s="55"/>
      <c r="AG59" s="48"/>
      <c r="AH59" s="56"/>
      <c r="AI59" s="54"/>
      <c r="AJ59" s="48"/>
      <c r="AK59" s="49"/>
      <c r="AL59" s="55">
        <v>60</v>
      </c>
      <c r="AM59" s="48">
        <v>40</v>
      </c>
      <c r="AN59" s="56">
        <v>4</v>
      </c>
      <c r="AO59" s="54"/>
      <c r="AP59" s="48"/>
      <c r="AQ59" s="49"/>
      <c r="AS59" s="139" t="str">
        <f t="shared" si="53"/>
        <v>OK</v>
      </c>
      <c r="AT59" s="138" t="str">
        <f t="shared" si="54"/>
        <v>OK</v>
      </c>
      <c r="AU59" s="140" t="str">
        <f t="shared" si="55"/>
        <v>OK</v>
      </c>
    </row>
    <row r="60" spans="1:47" x14ac:dyDescent="0.25">
      <c r="A60" s="185">
        <v>7</v>
      </c>
      <c r="B60" s="180" t="s">
        <v>158</v>
      </c>
      <c r="C60" s="48" t="s">
        <v>159</v>
      </c>
      <c r="D60" s="49" t="s">
        <v>160</v>
      </c>
      <c r="E60" s="50">
        <v>20</v>
      </c>
      <c r="F60" s="51"/>
      <c r="G60" s="51">
        <v>40</v>
      </c>
      <c r="H60" s="51"/>
      <c r="I60" s="51"/>
      <c r="J60" s="51"/>
      <c r="K60" s="52">
        <f t="shared" si="46"/>
        <v>60</v>
      </c>
      <c r="L60" s="51">
        <f t="shared" si="47"/>
        <v>4</v>
      </c>
      <c r="M60" s="51">
        <f>ROUND((E60/K60)*K60*0.5,0)+8</f>
        <v>18</v>
      </c>
      <c r="N60" s="51">
        <f>ROUND(((F60+G60+H60+I60)/K60)*K60*0.5,0)+20</f>
        <v>40</v>
      </c>
      <c r="O60" s="51">
        <f>IF(V60="E",ROUND(K60*0.2,0),0)</f>
        <v>0</v>
      </c>
      <c r="P60" s="52">
        <f t="shared" si="48"/>
        <v>62</v>
      </c>
      <c r="Q60" s="51">
        <f t="shared" si="49"/>
        <v>1.6</v>
      </c>
      <c r="R60" s="51">
        <f t="shared" si="50"/>
        <v>3.4</v>
      </c>
      <c r="S60" s="48">
        <f t="shared" si="36"/>
        <v>2.5</v>
      </c>
      <c r="T60" s="48">
        <f t="shared" si="51"/>
        <v>2.5</v>
      </c>
      <c r="U60" s="51">
        <f t="shared" si="52"/>
        <v>5</v>
      </c>
      <c r="V60" s="53"/>
      <c r="W60" s="54"/>
      <c r="X60" s="48"/>
      <c r="Y60" s="49"/>
      <c r="Z60" s="54"/>
      <c r="AA60" s="48"/>
      <c r="AB60" s="49"/>
      <c r="AC60" s="54"/>
      <c r="AD60" s="48"/>
      <c r="AE60" s="49"/>
      <c r="AF60" s="55"/>
      <c r="AG60" s="48"/>
      <c r="AH60" s="56"/>
      <c r="AI60" s="54"/>
      <c r="AJ60" s="48"/>
      <c r="AK60" s="49"/>
      <c r="AL60" s="55"/>
      <c r="AM60" s="48"/>
      <c r="AN60" s="56"/>
      <c r="AO60" s="54">
        <v>60</v>
      </c>
      <c r="AP60" s="48">
        <v>62</v>
      </c>
      <c r="AQ60" s="49">
        <v>5</v>
      </c>
      <c r="AS60" s="139" t="str">
        <f t="shared" si="53"/>
        <v>OK</v>
      </c>
      <c r="AT60" s="138" t="str">
        <f t="shared" si="54"/>
        <v>OK</v>
      </c>
      <c r="AU60" s="140" t="str">
        <f t="shared" si="55"/>
        <v>OK</v>
      </c>
    </row>
    <row r="61" spans="1:47" ht="15.75" thickBot="1" x14ac:dyDescent="0.3">
      <c r="A61" s="186">
        <v>8</v>
      </c>
      <c r="B61" s="187" t="s">
        <v>161</v>
      </c>
      <c r="C61" s="57" t="s">
        <v>162</v>
      </c>
      <c r="D61" s="58" t="s">
        <v>153</v>
      </c>
      <c r="E61" s="59">
        <v>20</v>
      </c>
      <c r="F61" s="60"/>
      <c r="G61" s="60">
        <v>40</v>
      </c>
      <c r="H61" s="60"/>
      <c r="I61" s="60"/>
      <c r="J61" s="60"/>
      <c r="K61" s="52">
        <f t="shared" si="46"/>
        <v>60</v>
      </c>
      <c r="L61" s="51">
        <f t="shared" si="47"/>
        <v>4</v>
      </c>
      <c r="M61" s="51">
        <f>ROUND((E61/K61)*K61*0.5,0)+8</f>
        <v>18</v>
      </c>
      <c r="N61" s="51">
        <f>ROUND(((F61+G61+H61+I61)/K61)*K61*0.5,0)+20</f>
        <v>40</v>
      </c>
      <c r="O61" s="60">
        <f>IF(V61="E",ROUND(K61*0.2,0),0)</f>
        <v>0</v>
      </c>
      <c r="P61" s="61">
        <f t="shared" si="48"/>
        <v>62</v>
      </c>
      <c r="Q61" s="60">
        <f t="shared" si="49"/>
        <v>1.6</v>
      </c>
      <c r="R61" s="60">
        <f t="shared" si="50"/>
        <v>3.4</v>
      </c>
      <c r="S61" s="48">
        <f t="shared" si="36"/>
        <v>2.5</v>
      </c>
      <c r="T61" s="48">
        <f t="shared" si="51"/>
        <v>2.5</v>
      </c>
      <c r="U61" s="60">
        <f t="shared" si="52"/>
        <v>5</v>
      </c>
      <c r="V61" s="62"/>
      <c r="W61" s="63"/>
      <c r="X61" s="57"/>
      <c r="Y61" s="58"/>
      <c r="Z61" s="63"/>
      <c r="AA61" s="57"/>
      <c r="AB61" s="58"/>
      <c r="AC61" s="63"/>
      <c r="AD61" s="57"/>
      <c r="AE61" s="58"/>
      <c r="AF61" s="64"/>
      <c r="AG61" s="57"/>
      <c r="AH61" s="65"/>
      <c r="AI61" s="63"/>
      <c r="AJ61" s="57"/>
      <c r="AK61" s="58"/>
      <c r="AL61" s="64"/>
      <c r="AM61" s="57"/>
      <c r="AN61" s="65"/>
      <c r="AO61" s="63">
        <v>60</v>
      </c>
      <c r="AP61" s="57">
        <v>62</v>
      </c>
      <c r="AQ61" s="58">
        <v>5</v>
      </c>
      <c r="AS61" s="139" t="str">
        <f t="shared" si="53"/>
        <v>OK</v>
      </c>
      <c r="AT61" s="138" t="str">
        <f t="shared" si="54"/>
        <v>OK</v>
      </c>
      <c r="AU61" s="140" t="str">
        <f t="shared" si="55"/>
        <v>OK</v>
      </c>
    </row>
    <row r="62" spans="1:47" x14ac:dyDescent="0.25">
      <c r="A62" s="31" t="s">
        <v>163</v>
      </c>
      <c r="B62" s="232" t="s">
        <v>164</v>
      </c>
      <c r="C62" s="233"/>
      <c r="D62" s="234"/>
      <c r="E62" s="38">
        <f t="shared" ref="E62:K62" si="56">SUM(E63:E70)</f>
        <v>165</v>
      </c>
      <c r="F62" s="39">
        <f t="shared" si="56"/>
        <v>0</v>
      </c>
      <c r="G62" s="39">
        <f t="shared" si="56"/>
        <v>300</v>
      </c>
      <c r="H62" s="39">
        <f t="shared" si="56"/>
        <v>0</v>
      </c>
      <c r="I62" s="39">
        <f t="shared" si="56"/>
        <v>60</v>
      </c>
      <c r="J62" s="39"/>
      <c r="K62" s="39">
        <f t="shared" si="56"/>
        <v>525</v>
      </c>
      <c r="L62" s="39">
        <f t="shared" ref="L62:AQ62" si="57">SUM(L63:L70)</f>
        <v>37</v>
      </c>
      <c r="M62" s="39">
        <f t="shared" si="57"/>
        <v>124</v>
      </c>
      <c r="N62" s="39">
        <f t="shared" si="57"/>
        <v>285</v>
      </c>
      <c r="O62" s="39">
        <f t="shared" si="57"/>
        <v>48</v>
      </c>
      <c r="P62" s="39">
        <f t="shared" si="57"/>
        <v>494</v>
      </c>
      <c r="Q62" s="39">
        <f t="shared" si="57"/>
        <v>11.600000000000001</v>
      </c>
      <c r="R62" s="39">
        <f t="shared" si="57"/>
        <v>29.4</v>
      </c>
      <c r="S62" s="39">
        <f t="shared" si="57"/>
        <v>21.1</v>
      </c>
      <c r="T62" s="39">
        <f t="shared" si="57"/>
        <v>19.899999999999999</v>
      </c>
      <c r="U62" s="39">
        <f>SUM(U63:U70)</f>
        <v>41</v>
      </c>
      <c r="V62" s="40"/>
      <c r="W62" s="104">
        <f t="shared" si="57"/>
        <v>0</v>
      </c>
      <c r="X62" s="39">
        <f t="shared" si="57"/>
        <v>0</v>
      </c>
      <c r="Y62" s="105">
        <f t="shared" si="57"/>
        <v>0</v>
      </c>
      <c r="Z62" s="104">
        <f t="shared" si="57"/>
        <v>0</v>
      </c>
      <c r="AA62" s="39">
        <f t="shared" si="57"/>
        <v>0</v>
      </c>
      <c r="AB62" s="105">
        <f t="shared" si="57"/>
        <v>0</v>
      </c>
      <c r="AC62" s="104">
        <f t="shared" si="57"/>
        <v>0</v>
      </c>
      <c r="AD62" s="39">
        <f t="shared" si="57"/>
        <v>0</v>
      </c>
      <c r="AE62" s="105">
        <f t="shared" si="57"/>
        <v>0</v>
      </c>
      <c r="AF62" s="38">
        <f t="shared" si="57"/>
        <v>0</v>
      </c>
      <c r="AG62" s="39">
        <f t="shared" si="57"/>
        <v>0</v>
      </c>
      <c r="AH62" s="110">
        <f t="shared" si="57"/>
        <v>0</v>
      </c>
      <c r="AI62" s="104">
        <f t="shared" si="57"/>
        <v>140</v>
      </c>
      <c r="AJ62" s="39">
        <f t="shared" si="57"/>
        <v>112</v>
      </c>
      <c r="AK62" s="105">
        <f t="shared" si="57"/>
        <v>10</v>
      </c>
      <c r="AL62" s="38">
        <f t="shared" si="57"/>
        <v>185</v>
      </c>
      <c r="AM62" s="39">
        <f t="shared" si="57"/>
        <v>184</v>
      </c>
      <c r="AN62" s="110">
        <f t="shared" si="57"/>
        <v>15</v>
      </c>
      <c r="AO62" s="104">
        <f t="shared" si="57"/>
        <v>200</v>
      </c>
      <c r="AP62" s="39">
        <f t="shared" si="57"/>
        <v>198</v>
      </c>
      <c r="AQ62" s="105">
        <f t="shared" si="57"/>
        <v>16</v>
      </c>
      <c r="AS62" s="147"/>
      <c r="AT62" s="148"/>
      <c r="AU62" s="149"/>
    </row>
    <row r="63" spans="1:47" x14ac:dyDescent="0.25">
      <c r="A63" s="188">
        <v>1</v>
      </c>
      <c r="B63" s="96" t="s">
        <v>165</v>
      </c>
      <c r="C63" s="96" t="s">
        <v>166</v>
      </c>
      <c r="D63" s="97" t="s">
        <v>167</v>
      </c>
      <c r="E63" s="66">
        <v>20</v>
      </c>
      <c r="F63" s="67"/>
      <c r="G63" s="67">
        <v>45</v>
      </c>
      <c r="H63" s="67"/>
      <c r="I63" s="67">
        <v>15</v>
      </c>
      <c r="J63" s="67"/>
      <c r="K63" s="68">
        <f t="shared" ref="K63:K71" si="58">SUM(E63:J63)</f>
        <v>80</v>
      </c>
      <c r="L63" s="67">
        <f t="shared" ref="L63:L70" si="59">ROUND(K63*0.07,0)</f>
        <v>6</v>
      </c>
      <c r="M63" s="67">
        <f>ROUND((E63/K63)*K63*0.5,0)</f>
        <v>10</v>
      </c>
      <c r="N63" s="67">
        <f>ROUND(((F63+G63+H63+I63)/K63)*K63*0.5,0)+8</f>
        <v>38</v>
      </c>
      <c r="O63" s="67">
        <f t="shared" ref="O63:O71" si="60">IF(V63="E",ROUND(K63*0.2,0),0)</f>
        <v>16</v>
      </c>
      <c r="P63" s="68">
        <f t="shared" ref="P63:P71" si="61">SUM(L63:O63)</f>
        <v>70</v>
      </c>
      <c r="Q63" s="67">
        <f t="shared" ref="Q63:Q71" si="62">ROUND(U63*(E63+M63)/(K63+P63),1)</f>
        <v>1.2</v>
      </c>
      <c r="R63" s="67">
        <f t="shared" ref="R63:R71" si="63">U63-Q63</f>
        <v>4.8</v>
      </c>
      <c r="S63" s="71">
        <f t="shared" si="36"/>
        <v>3.2</v>
      </c>
      <c r="T63" s="71">
        <f t="shared" ref="T63:T71" si="64">ROUND((P63)/25,1)</f>
        <v>2.8</v>
      </c>
      <c r="U63" s="67">
        <f t="shared" ref="U63:U69" si="65">ROUND(K63/25+P63/25,0)</f>
        <v>6</v>
      </c>
      <c r="V63" s="69" t="s">
        <v>38</v>
      </c>
      <c r="W63" s="70"/>
      <c r="X63" s="71"/>
      <c r="Y63" s="72"/>
      <c r="Z63" s="70"/>
      <c r="AA63" s="71"/>
      <c r="AB63" s="72"/>
      <c r="AC63" s="70"/>
      <c r="AD63" s="71"/>
      <c r="AE63" s="72"/>
      <c r="AF63" s="73"/>
      <c r="AG63" s="71"/>
      <c r="AH63" s="74"/>
      <c r="AI63" s="70">
        <v>80</v>
      </c>
      <c r="AJ63" s="71">
        <v>70</v>
      </c>
      <c r="AK63" s="72">
        <v>6</v>
      </c>
      <c r="AL63" s="73"/>
      <c r="AM63" s="71"/>
      <c r="AN63" s="74"/>
      <c r="AO63" s="70"/>
      <c r="AP63" s="71"/>
      <c r="AQ63" s="72"/>
      <c r="AS63" s="139" t="str">
        <f t="shared" ref="AS63:AS71" si="66">IF(K63=W63+Z63+AC63+AF63+AI63+AL63+AO63,"OK","BŁĄD")</f>
        <v>OK</v>
      </c>
      <c r="AT63" s="138" t="str">
        <f t="shared" ref="AT63:AT71" si="67">IF(P63=X63+AA63+AD63+AG63+AJ63+AM63+AP63,"OK","BŁĄD")</f>
        <v>OK</v>
      </c>
      <c r="AU63" s="140" t="str">
        <f t="shared" ref="AU63:AU71" si="68">IF(U63=Y63+AB63+AE63+AH63+AK63+AN63+AQ63,"OK","BŁĄD")</f>
        <v>OK</v>
      </c>
    </row>
    <row r="64" spans="1:47" x14ac:dyDescent="0.25">
      <c r="A64" s="188">
        <v>2</v>
      </c>
      <c r="B64" s="96" t="s">
        <v>168</v>
      </c>
      <c r="C64" s="96" t="s">
        <v>169</v>
      </c>
      <c r="D64" s="97" t="s">
        <v>123</v>
      </c>
      <c r="E64" s="66">
        <v>30</v>
      </c>
      <c r="F64" s="67"/>
      <c r="G64" s="67">
        <v>30</v>
      </c>
      <c r="H64" s="67"/>
      <c r="I64" s="67"/>
      <c r="J64" s="67"/>
      <c r="K64" s="68">
        <f t="shared" si="58"/>
        <v>60</v>
      </c>
      <c r="L64" s="67">
        <f t="shared" si="59"/>
        <v>4</v>
      </c>
      <c r="M64" s="67">
        <f>ROUND((E64/K64)*K64*0.5,0)+10</f>
        <v>25</v>
      </c>
      <c r="N64" s="67">
        <f>ROUND(((F64+G64+H64+I64)/K64)*K64*0.5,0)+20</f>
        <v>35</v>
      </c>
      <c r="O64" s="67">
        <f t="shared" si="60"/>
        <v>0</v>
      </c>
      <c r="P64" s="68">
        <f t="shared" si="61"/>
        <v>64</v>
      </c>
      <c r="Q64" s="67">
        <f t="shared" si="62"/>
        <v>2.2000000000000002</v>
      </c>
      <c r="R64" s="67">
        <f t="shared" si="63"/>
        <v>2.8</v>
      </c>
      <c r="S64" s="71">
        <f t="shared" si="36"/>
        <v>2.4</v>
      </c>
      <c r="T64" s="71">
        <f t="shared" si="64"/>
        <v>2.6</v>
      </c>
      <c r="U64" s="67">
        <f t="shared" si="65"/>
        <v>5</v>
      </c>
      <c r="V64" s="69"/>
      <c r="W64" s="70"/>
      <c r="X64" s="71"/>
      <c r="Y64" s="72"/>
      <c r="Z64" s="70"/>
      <c r="AA64" s="71"/>
      <c r="AB64" s="72"/>
      <c r="AC64" s="70"/>
      <c r="AD64" s="71"/>
      <c r="AE64" s="72"/>
      <c r="AF64" s="73"/>
      <c r="AG64" s="71"/>
      <c r="AH64" s="74"/>
      <c r="AI64" s="70"/>
      <c r="AJ64" s="71"/>
      <c r="AK64" s="72"/>
      <c r="AL64" s="73"/>
      <c r="AM64" s="71"/>
      <c r="AN64" s="74"/>
      <c r="AO64" s="70">
        <v>60</v>
      </c>
      <c r="AP64" s="71">
        <v>64</v>
      </c>
      <c r="AQ64" s="72">
        <v>5</v>
      </c>
      <c r="AS64" s="139" t="str">
        <f t="shared" si="66"/>
        <v>OK</v>
      </c>
      <c r="AT64" s="138" t="str">
        <f t="shared" si="67"/>
        <v>OK</v>
      </c>
      <c r="AU64" s="140" t="str">
        <f t="shared" si="68"/>
        <v>OK</v>
      </c>
    </row>
    <row r="65" spans="1:47" x14ac:dyDescent="0.25">
      <c r="A65" s="179">
        <v>3</v>
      </c>
      <c r="B65" s="96" t="s">
        <v>170</v>
      </c>
      <c r="C65" s="96" t="s">
        <v>171</v>
      </c>
      <c r="D65" s="97" t="s">
        <v>172</v>
      </c>
      <c r="E65" s="66">
        <v>20</v>
      </c>
      <c r="F65" s="67"/>
      <c r="G65" s="67">
        <v>45</v>
      </c>
      <c r="H65" s="67"/>
      <c r="I65" s="67">
        <v>15</v>
      </c>
      <c r="J65" s="67"/>
      <c r="K65" s="68">
        <f t="shared" si="58"/>
        <v>80</v>
      </c>
      <c r="L65" s="67">
        <f t="shared" si="59"/>
        <v>6</v>
      </c>
      <c r="M65" s="67">
        <f>ROUND((E65/K65)*K65*0.5,0)</f>
        <v>10</v>
      </c>
      <c r="N65" s="67">
        <f>ROUND(((F65+G65+H65+I65)/K65)*K65*0.5,0)+10</f>
        <v>40</v>
      </c>
      <c r="O65" s="67">
        <f t="shared" si="60"/>
        <v>16</v>
      </c>
      <c r="P65" s="68">
        <f t="shared" si="61"/>
        <v>72</v>
      </c>
      <c r="Q65" s="67">
        <f t="shared" si="62"/>
        <v>1.2</v>
      </c>
      <c r="R65" s="67">
        <f t="shared" si="63"/>
        <v>4.8</v>
      </c>
      <c r="S65" s="71">
        <f t="shared" si="36"/>
        <v>3.1</v>
      </c>
      <c r="T65" s="71">
        <f t="shared" si="64"/>
        <v>2.9</v>
      </c>
      <c r="U65" s="67">
        <f t="shared" si="65"/>
        <v>6</v>
      </c>
      <c r="V65" s="69" t="s">
        <v>38</v>
      </c>
      <c r="W65" s="70"/>
      <c r="X65" s="71"/>
      <c r="Y65" s="72"/>
      <c r="Z65" s="70"/>
      <c r="AA65" s="71"/>
      <c r="AB65" s="72"/>
      <c r="AC65" s="70"/>
      <c r="AD65" s="71"/>
      <c r="AE65" s="72"/>
      <c r="AF65" s="73"/>
      <c r="AG65" s="71"/>
      <c r="AH65" s="74"/>
      <c r="AI65" s="70"/>
      <c r="AJ65" s="71"/>
      <c r="AK65" s="72"/>
      <c r="AL65" s="73"/>
      <c r="AM65" s="71"/>
      <c r="AN65" s="74"/>
      <c r="AO65" s="70">
        <v>80</v>
      </c>
      <c r="AP65" s="71">
        <v>72</v>
      </c>
      <c r="AQ65" s="72">
        <v>6</v>
      </c>
      <c r="AS65" s="139" t="str">
        <f t="shared" si="66"/>
        <v>OK</v>
      </c>
      <c r="AT65" s="138" t="str">
        <f t="shared" si="67"/>
        <v>OK</v>
      </c>
      <c r="AU65" s="140" t="str">
        <f t="shared" si="68"/>
        <v>OK</v>
      </c>
    </row>
    <row r="66" spans="1:47" x14ac:dyDescent="0.25">
      <c r="A66" s="188">
        <v>4</v>
      </c>
      <c r="B66" s="96" t="s">
        <v>173</v>
      </c>
      <c r="C66" s="96" t="s">
        <v>174</v>
      </c>
      <c r="D66" s="97" t="s">
        <v>167</v>
      </c>
      <c r="E66" s="66">
        <v>20</v>
      </c>
      <c r="F66" s="67"/>
      <c r="G66" s="67">
        <v>40</v>
      </c>
      <c r="H66" s="67"/>
      <c r="I66" s="67"/>
      <c r="J66" s="67"/>
      <c r="K66" s="68">
        <f t="shared" si="58"/>
        <v>60</v>
      </c>
      <c r="L66" s="67">
        <f t="shared" si="59"/>
        <v>4</v>
      </c>
      <c r="M66" s="67">
        <f>ROUND((E66/K66)*K66*0.5,0)+10</f>
        <v>20</v>
      </c>
      <c r="N66" s="67">
        <f>ROUND(((F66+G66+H66+I66)/K66)*K66*0.5,0)+18</f>
        <v>38</v>
      </c>
      <c r="O66" s="67">
        <f t="shared" si="60"/>
        <v>0</v>
      </c>
      <c r="P66" s="68">
        <f t="shared" si="61"/>
        <v>62</v>
      </c>
      <c r="Q66" s="67">
        <f t="shared" si="62"/>
        <v>1.6</v>
      </c>
      <c r="R66" s="67">
        <f t="shared" si="63"/>
        <v>3.4</v>
      </c>
      <c r="S66" s="71">
        <f t="shared" si="36"/>
        <v>2.5</v>
      </c>
      <c r="T66" s="71">
        <f t="shared" si="64"/>
        <v>2.5</v>
      </c>
      <c r="U66" s="67">
        <f t="shared" si="65"/>
        <v>5</v>
      </c>
      <c r="V66" s="69"/>
      <c r="W66" s="70"/>
      <c r="X66" s="71"/>
      <c r="Y66" s="72"/>
      <c r="Z66" s="70"/>
      <c r="AA66" s="71"/>
      <c r="AB66" s="72"/>
      <c r="AC66" s="70"/>
      <c r="AD66" s="71"/>
      <c r="AE66" s="72"/>
      <c r="AF66" s="73"/>
      <c r="AG66" s="71"/>
      <c r="AH66" s="74"/>
      <c r="AI66" s="70"/>
      <c r="AJ66" s="71"/>
      <c r="AK66" s="72"/>
      <c r="AL66" s="73">
        <v>60</v>
      </c>
      <c r="AM66" s="71">
        <v>62</v>
      </c>
      <c r="AN66" s="74">
        <v>5</v>
      </c>
      <c r="AO66" s="70"/>
      <c r="AP66" s="71"/>
      <c r="AQ66" s="72"/>
      <c r="AS66" s="139" t="str">
        <f t="shared" si="66"/>
        <v>OK</v>
      </c>
      <c r="AT66" s="138" t="str">
        <f t="shared" si="67"/>
        <v>OK</v>
      </c>
      <c r="AU66" s="140" t="str">
        <f t="shared" si="68"/>
        <v>OK</v>
      </c>
    </row>
    <row r="67" spans="1:47" x14ac:dyDescent="0.25">
      <c r="A67" s="188">
        <v>5</v>
      </c>
      <c r="B67" s="96" t="s">
        <v>175</v>
      </c>
      <c r="C67" s="96" t="s">
        <v>176</v>
      </c>
      <c r="D67" s="97" t="s">
        <v>96</v>
      </c>
      <c r="E67" s="66">
        <v>20</v>
      </c>
      <c r="F67" s="67"/>
      <c r="G67" s="67">
        <v>40</v>
      </c>
      <c r="H67" s="67"/>
      <c r="I67" s="67"/>
      <c r="J67" s="67"/>
      <c r="K67" s="68">
        <f t="shared" si="58"/>
        <v>60</v>
      </c>
      <c r="L67" s="67">
        <f t="shared" si="59"/>
        <v>4</v>
      </c>
      <c r="M67" s="67">
        <f>ROUND((E67/K67)*K67*0.5,0)+10</f>
        <v>20</v>
      </c>
      <c r="N67" s="67">
        <f>ROUND(((F67+G67+H67+I67)/K67)*K67*0.5,0)+18</f>
        <v>38</v>
      </c>
      <c r="O67" s="67">
        <f t="shared" si="60"/>
        <v>0</v>
      </c>
      <c r="P67" s="68">
        <f t="shared" si="61"/>
        <v>62</v>
      </c>
      <c r="Q67" s="67">
        <f t="shared" si="62"/>
        <v>1.6</v>
      </c>
      <c r="R67" s="67">
        <f t="shared" si="63"/>
        <v>3.4</v>
      </c>
      <c r="S67" s="71">
        <f t="shared" si="36"/>
        <v>2.5</v>
      </c>
      <c r="T67" s="71">
        <f t="shared" si="64"/>
        <v>2.5</v>
      </c>
      <c r="U67" s="67">
        <f t="shared" si="65"/>
        <v>5</v>
      </c>
      <c r="V67" s="69"/>
      <c r="W67" s="70"/>
      <c r="X67" s="71"/>
      <c r="Y67" s="72"/>
      <c r="Z67" s="70"/>
      <c r="AA67" s="71"/>
      <c r="AB67" s="72"/>
      <c r="AC67" s="70"/>
      <c r="AD67" s="71"/>
      <c r="AE67" s="72"/>
      <c r="AF67" s="73"/>
      <c r="AG67" s="71"/>
      <c r="AH67" s="74"/>
      <c r="AI67" s="70"/>
      <c r="AJ67" s="71"/>
      <c r="AK67" s="72"/>
      <c r="AL67" s="73"/>
      <c r="AM67" s="71"/>
      <c r="AN67" s="74"/>
      <c r="AO67" s="70">
        <v>60</v>
      </c>
      <c r="AP67" s="71">
        <v>62</v>
      </c>
      <c r="AQ67" s="72">
        <v>5</v>
      </c>
      <c r="AS67" s="139" t="str">
        <f t="shared" si="66"/>
        <v>OK</v>
      </c>
      <c r="AT67" s="138" t="str">
        <f t="shared" si="67"/>
        <v>OK</v>
      </c>
      <c r="AU67" s="140" t="str">
        <f t="shared" si="68"/>
        <v>OK</v>
      </c>
    </row>
    <row r="68" spans="1:47" x14ac:dyDescent="0.25">
      <c r="A68" s="188">
        <v>6</v>
      </c>
      <c r="B68" s="96" t="s">
        <v>177</v>
      </c>
      <c r="C68" s="96" t="s">
        <v>178</v>
      </c>
      <c r="D68" s="97" t="s">
        <v>160</v>
      </c>
      <c r="E68" s="66">
        <v>15</v>
      </c>
      <c r="F68" s="67"/>
      <c r="G68" s="67">
        <v>30</v>
      </c>
      <c r="H68" s="67"/>
      <c r="I68" s="67"/>
      <c r="J68" s="67"/>
      <c r="K68" s="68">
        <f t="shared" si="58"/>
        <v>45</v>
      </c>
      <c r="L68" s="67">
        <f t="shared" si="59"/>
        <v>3</v>
      </c>
      <c r="M68" s="67">
        <f>ROUND((E68/K68)*K68*0.5,0)+10</f>
        <v>18</v>
      </c>
      <c r="N68" s="67">
        <f>ROUND(((F68+G68+H68+I68)/K68)*K68*0.5,0)+18</f>
        <v>33</v>
      </c>
      <c r="O68" s="67">
        <f t="shared" si="60"/>
        <v>0</v>
      </c>
      <c r="P68" s="68">
        <f t="shared" si="61"/>
        <v>54</v>
      </c>
      <c r="Q68" s="67">
        <f t="shared" si="62"/>
        <v>1.3</v>
      </c>
      <c r="R68" s="67">
        <f t="shared" si="63"/>
        <v>2.7</v>
      </c>
      <c r="S68" s="71">
        <f t="shared" si="36"/>
        <v>1.7999999999999998</v>
      </c>
      <c r="T68" s="71">
        <f t="shared" si="64"/>
        <v>2.2000000000000002</v>
      </c>
      <c r="U68" s="67">
        <f t="shared" si="65"/>
        <v>4</v>
      </c>
      <c r="V68" s="69"/>
      <c r="W68" s="70"/>
      <c r="X68" s="71"/>
      <c r="Y68" s="72"/>
      <c r="Z68" s="70"/>
      <c r="AA68" s="71"/>
      <c r="AB68" s="72"/>
      <c r="AC68" s="70"/>
      <c r="AD68" s="71"/>
      <c r="AE68" s="72"/>
      <c r="AF68" s="73"/>
      <c r="AG68" s="71"/>
      <c r="AH68" s="74"/>
      <c r="AI68" s="70"/>
      <c r="AJ68" s="71"/>
      <c r="AK68" s="72"/>
      <c r="AL68" s="73">
        <v>45</v>
      </c>
      <c r="AM68" s="71">
        <v>54</v>
      </c>
      <c r="AN68" s="74">
        <v>4</v>
      </c>
      <c r="AO68" s="70"/>
      <c r="AP68" s="71"/>
      <c r="AQ68" s="72"/>
      <c r="AS68" s="139" t="str">
        <f t="shared" si="66"/>
        <v>OK</v>
      </c>
      <c r="AT68" s="138" t="str">
        <f t="shared" si="67"/>
        <v>OK</v>
      </c>
      <c r="AU68" s="140" t="str">
        <f t="shared" si="68"/>
        <v>OK</v>
      </c>
    </row>
    <row r="69" spans="1:47" x14ac:dyDescent="0.25">
      <c r="A69" s="188">
        <v>7</v>
      </c>
      <c r="B69" s="96" t="s">
        <v>179</v>
      </c>
      <c r="C69" s="96" t="s">
        <v>180</v>
      </c>
      <c r="D69" s="97" t="s">
        <v>181</v>
      </c>
      <c r="E69" s="66">
        <v>20</v>
      </c>
      <c r="F69" s="67"/>
      <c r="G69" s="67">
        <v>30</v>
      </c>
      <c r="H69" s="67"/>
      <c r="I69" s="67">
        <v>30</v>
      </c>
      <c r="J69" s="67"/>
      <c r="K69" s="68">
        <f t="shared" si="58"/>
        <v>80</v>
      </c>
      <c r="L69" s="67">
        <f t="shared" si="59"/>
        <v>6</v>
      </c>
      <c r="M69" s="67">
        <f>ROUND((E69/K69)*K69*0.5,0)+1</f>
        <v>11</v>
      </c>
      <c r="N69" s="67">
        <f>ROUND(((F69+G69+H69+I69)/K69)*K69*0.5,0)+5</f>
        <v>35</v>
      </c>
      <c r="O69" s="67">
        <f t="shared" si="60"/>
        <v>16</v>
      </c>
      <c r="P69" s="68">
        <f t="shared" si="61"/>
        <v>68</v>
      </c>
      <c r="Q69" s="67">
        <f t="shared" si="62"/>
        <v>1.3</v>
      </c>
      <c r="R69" s="67">
        <f t="shared" si="63"/>
        <v>4.7</v>
      </c>
      <c r="S69" s="71">
        <f t="shared" si="36"/>
        <v>3.3</v>
      </c>
      <c r="T69" s="71">
        <f t="shared" si="64"/>
        <v>2.7</v>
      </c>
      <c r="U69" s="67">
        <f t="shared" si="65"/>
        <v>6</v>
      </c>
      <c r="V69" s="69" t="s">
        <v>38</v>
      </c>
      <c r="W69" s="70"/>
      <c r="X69" s="71"/>
      <c r="Y69" s="72"/>
      <c r="Z69" s="70"/>
      <c r="AA69" s="71"/>
      <c r="AB69" s="72"/>
      <c r="AC69" s="70"/>
      <c r="AD69" s="71"/>
      <c r="AE69" s="72"/>
      <c r="AF69" s="73"/>
      <c r="AG69" s="71"/>
      <c r="AH69" s="74"/>
      <c r="AI69" s="70"/>
      <c r="AJ69" s="71"/>
      <c r="AK69" s="72"/>
      <c r="AL69" s="73">
        <v>80</v>
      </c>
      <c r="AM69" s="71">
        <v>68</v>
      </c>
      <c r="AN69" s="74">
        <v>6</v>
      </c>
      <c r="AO69" s="70"/>
      <c r="AP69" s="71"/>
      <c r="AQ69" s="72"/>
      <c r="AS69" s="139" t="str">
        <f t="shared" si="66"/>
        <v>OK</v>
      </c>
      <c r="AT69" s="138" t="str">
        <f t="shared" si="67"/>
        <v>OK</v>
      </c>
      <c r="AU69" s="140" t="str">
        <f t="shared" si="68"/>
        <v>OK</v>
      </c>
    </row>
    <row r="70" spans="1:47" ht="15.75" thickBot="1" x14ac:dyDescent="0.3">
      <c r="A70" s="189">
        <v>8</v>
      </c>
      <c r="B70" s="98" t="s">
        <v>182</v>
      </c>
      <c r="C70" s="98" t="s">
        <v>183</v>
      </c>
      <c r="D70" s="99" t="s">
        <v>160</v>
      </c>
      <c r="E70" s="117">
        <v>20</v>
      </c>
      <c r="F70" s="118"/>
      <c r="G70" s="118">
        <v>40</v>
      </c>
      <c r="H70" s="118"/>
      <c r="I70" s="118"/>
      <c r="J70" s="118"/>
      <c r="K70" s="119">
        <f t="shared" si="58"/>
        <v>60</v>
      </c>
      <c r="L70" s="67">
        <f t="shared" si="59"/>
        <v>4</v>
      </c>
      <c r="M70" s="67">
        <f>ROUND((E70/K70)*K70*0.5,0)</f>
        <v>10</v>
      </c>
      <c r="N70" s="67">
        <f>ROUND(((F70+G70+H70+I70)/K70)*K70*0.5,0)+8</f>
        <v>28</v>
      </c>
      <c r="O70" s="118">
        <f t="shared" si="60"/>
        <v>0</v>
      </c>
      <c r="P70" s="119">
        <f t="shared" si="61"/>
        <v>42</v>
      </c>
      <c r="Q70" s="118">
        <f t="shared" si="62"/>
        <v>1.2</v>
      </c>
      <c r="R70" s="118">
        <f t="shared" si="63"/>
        <v>2.8</v>
      </c>
      <c r="S70" s="120">
        <f t="shared" si="36"/>
        <v>2.2999999999999998</v>
      </c>
      <c r="T70" s="71">
        <f t="shared" si="64"/>
        <v>1.7</v>
      </c>
      <c r="U70" s="118">
        <f>ROUND(K70/25+P70/25,0)</f>
        <v>4</v>
      </c>
      <c r="V70" s="121"/>
      <c r="W70" s="75"/>
      <c r="X70" s="76"/>
      <c r="Y70" s="77"/>
      <c r="Z70" s="75"/>
      <c r="AA70" s="76"/>
      <c r="AB70" s="77"/>
      <c r="AC70" s="75"/>
      <c r="AD70" s="76"/>
      <c r="AE70" s="77"/>
      <c r="AF70" s="78"/>
      <c r="AG70" s="76"/>
      <c r="AH70" s="79"/>
      <c r="AI70" s="75">
        <v>60</v>
      </c>
      <c r="AJ70" s="76">
        <v>42</v>
      </c>
      <c r="AK70" s="77">
        <v>4</v>
      </c>
      <c r="AL70" s="78"/>
      <c r="AM70" s="76"/>
      <c r="AN70" s="79"/>
      <c r="AO70" s="75"/>
      <c r="AP70" s="76"/>
      <c r="AQ70" s="77"/>
      <c r="AS70" s="139" t="str">
        <f t="shared" si="66"/>
        <v>OK</v>
      </c>
      <c r="AT70" s="138" t="str">
        <f t="shared" si="67"/>
        <v>OK</v>
      </c>
      <c r="AU70" s="140" t="str">
        <f t="shared" si="68"/>
        <v>OK</v>
      </c>
    </row>
    <row r="71" spans="1:47" ht="15.75" thickBot="1" x14ac:dyDescent="0.3">
      <c r="A71" s="41" t="s">
        <v>184</v>
      </c>
      <c r="B71" s="235" t="s">
        <v>185</v>
      </c>
      <c r="C71" s="236"/>
      <c r="D71" s="43" t="s">
        <v>148</v>
      </c>
      <c r="E71" s="126">
        <v>6</v>
      </c>
      <c r="F71" s="127"/>
      <c r="G71" s="127"/>
      <c r="H71" s="127"/>
      <c r="I71" s="127"/>
      <c r="J71" s="127">
        <v>240</v>
      </c>
      <c r="K71" s="82">
        <f t="shared" si="58"/>
        <v>246</v>
      </c>
      <c r="L71" s="82">
        <v>1</v>
      </c>
      <c r="M71" s="82">
        <v>0</v>
      </c>
      <c r="N71" s="82">
        <v>0</v>
      </c>
      <c r="O71" s="82">
        <f t="shared" si="60"/>
        <v>0</v>
      </c>
      <c r="P71" s="82">
        <f t="shared" si="61"/>
        <v>1</v>
      </c>
      <c r="Q71" s="82">
        <f t="shared" si="62"/>
        <v>0.2</v>
      </c>
      <c r="R71" s="82">
        <f t="shared" si="63"/>
        <v>8.8000000000000007</v>
      </c>
      <c r="S71" s="82">
        <f>U71-T71</f>
        <v>9</v>
      </c>
      <c r="T71" s="82">
        <f t="shared" si="64"/>
        <v>0</v>
      </c>
      <c r="U71" s="82">
        <f>ROUND(K71/30+P71/30,0)+1</f>
        <v>9</v>
      </c>
      <c r="V71" s="128"/>
      <c r="W71" s="46"/>
      <c r="X71" s="42"/>
      <c r="Y71" s="47"/>
      <c r="Z71" s="46"/>
      <c r="AA71" s="42"/>
      <c r="AB71" s="47"/>
      <c r="AC71" s="46"/>
      <c r="AD71" s="42"/>
      <c r="AE71" s="47"/>
      <c r="AF71" s="44"/>
      <c r="AG71" s="42"/>
      <c r="AH71" s="45"/>
      <c r="AI71" s="46"/>
      <c r="AJ71" s="42"/>
      <c r="AK71" s="47"/>
      <c r="AL71" s="44">
        <v>246</v>
      </c>
      <c r="AM71" s="42">
        <v>1</v>
      </c>
      <c r="AN71" s="45">
        <v>9</v>
      </c>
      <c r="AO71" s="46"/>
      <c r="AP71" s="42"/>
      <c r="AQ71" s="47"/>
      <c r="AS71" s="139" t="str">
        <f t="shared" si="66"/>
        <v>OK</v>
      </c>
      <c r="AT71" s="138" t="str">
        <f t="shared" si="67"/>
        <v>OK</v>
      </c>
      <c r="AU71" s="140" t="str">
        <f t="shared" si="68"/>
        <v>OK</v>
      </c>
    </row>
    <row r="72" spans="1:47" ht="15.75" thickBot="1" x14ac:dyDescent="0.3">
      <c r="A72" s="80" t="s">
        <v>186</v>
      </c>
      <c r="B72" s="229" t="s">
        <v>187</v>
      </c>
      <c r="C72" s="230"/>
      <c r="D72" s="231"/>
      <c r="E72" s="129">
        <f>SUM(E73:E74)</f>
        <v>5</v>
      </c>
      <c r="F72" s="130">
        <f>SUM(F73:F74)</f>
        <v>0</v>
      </c>
      <c r="G72" s="130">
        <f>SUM(G73:G74)</f>
        <v>0</v>
      </c>
      <c r="H72" s="130">
        <f>SUM(H73:H74)</f>
        <v>25</v>
      </c>
      <c r="I72" s="130">
        <f>SUM(I73:I74)</f>
        <v>0</v>
      </c>
      <c r="J72" s="130"/>
      <c r="K72" s="130">
        <f t="shared" ref="K72:AQ72" si="69">SUM(K73:K74)</f>
        <v>30</v>
      </c>
      <c r="L72" s="130">
        <f t="shared" si="69"/>
        <v>18</v>
      </c>
      <c r="M72" s="130">
        <f t="shared" si="69"/>
        <v>3</v>
      </c>
      <c r="N72" s="130">
        <f t="shared" si="69"/>
        <v>355</v>
      </c>
      <c r="O72" s="130">
        <f t="shared" si="69"/>
        <v>0</v>
      </c>
      <c r="P72" s="130">
        <f t="shared" si="69"/>
        <v>376</v>
      </c>
      <c r="Q72" s="130">
        <f t="shared" si="69"/>
        <v>0.3</v>
      </c>
      <c r="R72" s="130">
        <f t="shared" si="69"/>
        <v>13.7</v>
      </c>
      <c r="S72" s="130">
        <f t="shared" si="69"/>
        <v>1.2</v>
      </c>
      <c r="T72" s="130">
        <f t="shared" si="69"/>
        <v>12.8</v>
      </c>
      <c r="U72" s="130">
        <f t="shared" si="69"/>
        <v>14</v>
      </c>
      <c r="V72" s="131"/>
      <c r="W72" s="80">
        <f t="shared" si="69"/>
        <v>0</v>
      </c>
      <c r="X72" s="82">
        <f t="shared" si="69"/>
        <v>0</v>
      </c>
      <c r="Y72" s="106">
        <f t="shared" si="69"/>
        <v>0</v>
      </c>
      <c r="Z72" s="80">
        <f t="shared" si="69"/>
        <v>0</v>
      </c>
      <c r="AA72" s="82">
        <f t="shared" si="69"/>
        <v>0</v>
      </c>
      <c r="AB72" s="106">
        <f t="shared" si="69"/>
        <v>0</v>
      </c>
      <c r="AC72" s="80">
        <f t="shared" si="69"/>
        <v>0</v>
      </c>
      <c r="AD72" s="82">
        <f t="shared" si="69"/>
        <v>0</v>
      </c>
      <c r="AE72" s="106">
        <f t="shared" si="69"/>
        <v>0</v>
      </c>
      <c r="AF72" s="81">
        <f t="shared" si="69"/>
        <v>0</v>
      </c>
      <c r="AG72" s="82">
        <f t="shared" si="69"/>
        <v>0</v>
      </c>
      <c r="AH72" s="111">
        <f t="shared" si="69"/>
        <v>0</v>
      </c>
      <c r="AI72" s="80">
        <f t="shared" si="69"/>
        <v>0</v>
      </c>
      <c r="AJ72" s="82">
        <f t="shared" si="69"/>
        <v>0</v>
      </c>
      <c r="AK72" s="106">
        <f t="shared" si="69"/>
        <v>0</v>
      </c>
      <c r="AL72" s="81">
        <f t="shared" si="69"/>
        <v>0</v>
      </c>
      <c r="AM72" s="82">
        <f t="shared" si="69"/>
        <v>0</v>
      </c>
      <c r="AN72" s="111">
        <f t="shared" si="69"/>
        <v>0</v>
      </c>
      <c r="AO72" s="80">
        <f t="shared" si="69"/>
        <v>30</v>
      </c>
      <c r="AP72" s="82">
        <f t="shared" si="69"/>
        <v>376</v>
      </c>
      <c r="AQ72" s="106">
        <f t="shared" si="69"/>
        <v>14</v>
      </c>
      <c r="AS72" s="147"/>
      <c r="AT72" s="148"/>
      <c r="AU72" s="149"/>
    </row>
    <row r="73" spans="1:47" x14ac:dyDescent="0.25">
      <c r="A73" s="83">
        <v>1</v>
      </c>
      <c r="B73" s="84" t="s">
        <v>188</v>
      </c>
      <c r="C73" s="84" t="s">
        <v>189</v>
      </c>
      <c r="D73" s="85" t="s">
        <v>190</v>
      </c>
      <c r="E73" s="122">
        <v>5</v>
      </c>
      <c r="F73" s="123"/>
      <c r="G73" s="123"/>
      <c r="H73" s="123">
        <v>25</v>
      </c>
      <c r="I73" s="123"/>
      <c r="J73" s="123"/>
      <c r="K73" s="124">
        <f>SUM(E73:J73)</f>
        <v>30</v>
      </c>
      <c r="L73" s="123">
        <f>ROUND(K73*0.1,0)</f>
        <v>3</v>
      </c>
      <c r="M73" s="123">
        <f>ROUND((E73/K73)*K73*0.6,0)</f>
        <v>3</v>
      </c>
      <c r="N73" s="123">
        <f>ROUND(((F73+G73+H73+I73)/K73)*K73*0.6,0)</f>
        <v>15</v>
      </c>
      <c r="O73" s="123">
        <f>IF(V73="E",ROUND(K73*0.2,0),0)</f>
        <v>0</v>
      </c>
      <c r="P73" s="124">
        <f>SUM(L73:O73)</f>
        <v>21</v>
      </c>
      <c r="Q73" s="123">
        <f>ROUND(U73*(E73+M73)/(K73+P73),1)</f>
        <v>0.3</v>
      </c>
      <c r="R73" s="123">
        <f>U73-Q73</f>
        <v>1.7</v>
      </c>
      <c r="S73" s="123">
        <f t="shared" ref="S73:S74" si="70">U73-T73</f>
        <v>1.2</v>
      </c>
      <c r="T73" s="123">
        <f>ROUND((P73)/25,1)</f>
        <v>0.8</v>
      </c>
      <c r="U73" s="123">
        <f>ROUND(K73/25+P73/30,0)</f>
        <v>2</v>
      </c>
      <c r="V73" s="125"/>
      <c r="W73" s="83"/>
      <c r="X73" s="84"/>
      <c r="Y73" s="88"/>
      <c r="Z73" s="83"/>
      <c r="AA73" s="84"/>
      <c r="AB73" s="88"/>
      <c r="AC73" s="83"/>
      <c r="AD73" s="84"/>
      <c r="AE73" s="88"/>
      <c r="AF73" s="86"/>
      <c r="AG73" s="84"/>
      <c r="AH73" s="87"/>
      <c r="AI73" s="83"/>
      <c r="AJ73" s="84"/>
      <c r="AK73" s="88"/>
      <c r="AL73" s="86"/>
      <c r="AM73" s="84"/>
      <c r="AN73" s="87"/>
      <c r="AO73" s="83">
        <v>30</v>
      </c>
      <c r="AP73" s="84">
        <v>21</v>
      </c>
      <c r="AQ73" s="88">
        <v>2</v>
      </c>
      <c r="AS73" s="139" t="str">
        <f>IF(K73=W73+Z73+AC73+AF73+AI73+AL73+AO73,"OK","BŁĄD")</f>
        <v>OK</v>
      </c>
      <c r="AT73" s="138" t="str">
        <f>IF(P73=X73+AA73+AD73+AG73+AJ73+AM73+AP73,"OK","BŁĄD")</f>
        <v>OK</v>
      </c>
      <c r="AU73" s="140" t="str">
        <f>IF(U73=Y73+AB73+AE73+AH73+AK73+AN73+AQ73,"OK","BŁĄD")</f>
        <v>OK</v>
      </c>
    </row>
    <row r="74" spans="1:47" ht="15.75" thickBot="1" x14ac:dyDescent="0.3">
      <c r="A74" s="21">
        <v>2</v>
      </c>
      <c r="B74" s="22" t="s">
        <v>191</v>
      </c>
      <c r="C74" s="22"/>
      <c r="D74" s="23"/>
      <c r="E74" s="24"/>
      <c r="F74" s="22"/>
      <c r="G74" s="22"/>
      <c r="H74" s="22"/>
      <c r="I74" s="22"/>
      <c r="J74" s="22"/>
      <c r="K74" s="25">
        <v>0</v>
      </c>
      <c r="L74" s="22">
        <v>15</v>
      </c>
      <c r="M74" s="22">
        <v>0</v>
      </c>
      <c r="N74" s="22">
        <v>340</v>
      </c>
      <c r="O74" s="22">
        <f>IF(V74="E",ROUND(K74*0.2,0),0)</f>
        <v>0</v>
      </c>
      <c r="P74" s="25">
        <f>SUM(L74:O74)</f>
        <v>355</v>
      </c>
      <c r="Q74" s="22">
        <f>ROUND(U74*(E74+M74)/(K74+P74),1)</f>
        <v>0</v>
      </c>
      <c r="R74" s="22">
        <f>U74-Q74</f>
        <v>12</v>
      </c>
      <c r="S74" s="22">
        <f t="shared" si="70"/>
        <v>0</v>
      </c>
      <c r="T74" s="22">
        <v>12</v>
      </c>
      <c r="U74" s="22">
        <f>ROUND(K74/25+P74/30,0)</f>
        <v>12</v>
      </c>
      <c r="V74" s="26" t="s">
        <v>38</v>
      </c>
      <c r="W74" s="21"/>
      <c r="X74" s="22"/>
      <c r="Y74" s="23"/>
      <c r="Z74" s="21"/>
      <c r="AA74" s="22"/>
      <c r="AB74" s="23"/>
      <c r="AC74" s="21"/>
      <c r="AD74" s="22"/>
      <c r="AE74" s="23"/>
      <c r="AF74" s="24"/>
      <c r="AG74" s="22"/>
      <c r="AH74" s="26"/>
      <c r="AI74" s="21"/>
      <c r="AJ74" s="22"/>
      <c r="AK74" s="23"/>
      <c r="AL74" s="24"/>
      <c r="AM74" s="22"/>
      <c r="AN74" s="26"/>
      <c r="AO74" s="21"/>
      <c r="AP74" s="22">
        <v>355</v>
      </c>
      <c r="AQ74" s="23">
        <v>12</v>
      </c>
      <c r="AS74" s="139" t="str">
        <f>IF(K74=W74+Z74+AC74+AF74+AI74+AL74+AO74,"OK","BŁĄD")</f>
        <v>OK</v>
      </c>
      <c r="AT74" s="138" t="str">
        <f>IF(P74=X74+AA74+AD74+AG74+AJ74+AM74+AP74,"OK","BŁĄD")</f>
        <v>OK</v>
      </c>
      <c r="AU74" s="140" t="str">
        <f>IF(U74=Y74+AB74+AE74+AH74+AK74+AN74+AQ74,"OK","BŁĄD")</f>
        <v>OK</v>
      </c>
    </row>
    <row r="75" spans="1:47" x14ac:dyDescent="0.25">
      <c r="A75" s="223" t="s">
        <v>192</v>
      </c>
      <c r="B75" s="224"/>
      <c r="C75" s="224"/>
      <c r="D75" s="115" t="s">
        <v>193</v>
      </c>
      <c r="E75" s="116">
        <f t="shared" ref="E75:AQ75" si="71">E72+E71+E53+E32+E22+E14</f>
        <v>847</v>
      </c>
      <c r="F75" s="114">
        <f t="shared" si="71"/>
        <v>414</v>
      </c>
      <c r="G75" s="114">
        <f t="shared" si="71"/>
        <v>1120</v>
      </c>
      <c r="H75" s="114">
        <f t="shared" si="71"/>
        <v>31</v>
      </c>
      <c r="I75" s="114">
        <f t="shared" si="71"/>
        <v>60</v>
      </c>
      <c r="J75" s="114"/>
      <c r="K75" s="114">
        <f t="shared" si="71"/>
        <v>2712</v>
      </c>
      <c r="L75" s="114">
        <f t="shared" si="71"/>
        <v>254</v>
      </c>
      <c r="M75" s="114">
        <f t="shared" si="71"/>
        <v>540</v>
      </c>
      <c r="N75" s="114">
        <f t="shared" si="71"/>
        <v>1542</v>
      </c>
      <c r="O75" s="114">
        <f t="shared" si="71"/>
        <v>256</v>
      </c>
      <c r="P75" s="114">
        <f>P72+P71+P53+P32+P22+P14</f>
        <v>2592</v>
      </c>
      <c r="Q75" s="114">
        <f t="shared" si="71"/>
        <v>57.099999999999994</v>
      </c>
      <c r="R75" s="114">
        <f t="shared" si="71"/>
        <v>152.89999999999998</v>
      </c>
      <c r="S75" s="114">
        <f t="shared" si="71"/>
        <v>110.29999999999998</v>
      </c>
      <c r="T75" s="114">
        <f t="shared" si="71"/>
        <v>99.700000000000017</v>
      </c>
      <c r="U75" s="114">
        <f t="shared" si="71"/>
        <v>210</v>
      </c>
      <c r="V75" s="112">
        <f t="shared" si="71"/>
        <v>0</v>
      </c>
      <c r="W75" s="116">
        <f t="shared" si="71"/>
        <v>375</v>
      </c>
      <c r="X75" s="114">
        <f t="shared" si="71"/>
        <v>397</v>
      </c>
      <c r="Y75" s="112">
        <f t="shared" si="71"/>
        <v>30</v>
      </c>
      <c r="Z75" s="116">
        <f t="shared" si="71"/>
        <v>395</v>
      </c>
      <c r="AA75" s="114">
        <f t="shared" si="71"/>
        <v>334</v>
      </c>
      <c r="AB75" s="112">
        <f t="shared" si="71"/>
        <v>30</v>
      </c>
      <c r="AC75" s="116">
        <f t="shared" si="71"/>
        <v>420</v>
      </c>
      <c r="AD75" s="114">
        <f t="shared" si="71"/>
        <v>341</v>
      </c>
      <c r="AE75" s="112">
        <f t="shared" si="71"/>
        <v>30</v>
      </c>
      <c r="AF75" s="113">
        <f t="shared" si="71"/>
        <v>395</v>
      </c>
      <c r="AG75" s="114">
        <f t="shared" si="71"/>
        <v>358</v>
      </c>
      <c r="AH75" s="115">
        <f t="shared" si="71"/>
        <v>30</v>
      </c>
      <c r="AI75" s="116">
        <f t="shared" si="71"/>
        <v>361</v>
      </c>
      <c r="AJ75" s="114">
        <f t="shared" si="71"/>
        <v>360</v>
      </c>
      <c r="AK75" s="112">
        <f t="shared" si="71"/>
        <v>30</v>
      </c>
      <c r="AL75" s="113">
        <f t="shared" si="71"/>
        <v>551</v>
      </c>
      <c r="AM75" s="114">
        <f t="shared" si="71"/>
        <v>218</v>
      </c>
      <c r="AN75" s="115">
        <f t="shared" si="71"/>
        <v>30</v>
      </c>
      <c r="AO75" s="116">
        <f t="shared" si="71"/>
        <v>215</v>
      </c>
      <c r="AP75" s="114">
        <f t="shared" si="71"/>
        <v>584</v>
      </c>
      <c r="AQ75" s="112">
        <f t="shared" si="71"/>
        <v>30</v>
      </c>
      <c r="AS75" s="147"/>
      <c r="AT75" s="148"/>
      <c r="AU75" s="149">
        <f>U75-Y75-AB75-AE75-AH75-AK75-AN75-AQ75</f>
        <v>0</v>
      </c>
    </row>
    <row r="76" spans="1:47" x14ac:dyDescent="0.25">
      <c r="A76" s="225"/>
      <c r="B76" s="226"/>
      <c r="C76" s="226"/>
      <c r="D76" s="154" t="s">
        <v>194</v>
      </c>
      <c r="E76" s="158">
        <f t="shared" ref="E76:AQ76" si="72">E72+E71+E62+E32+E22+E14</f>
        <v>847</v>
      </c>
      <c r="F76" s="150">
        <f t="shared" si="72"/>
        <v>414</v>
      </c>
      <c r="G76" s="150">
        <f t="shared" si="72"/>
        <v>1120</v>
      </c>
      <c r="H76" s="150">
        <f t="shared" si="72"/>
        <v>31</v>
      </c>
      <c r="I76" s="150">
        <f t="shared" si="72"/>
        <v>60</v>
      </c>
      <c r="J76" s="150"/>
      <c r="K76" s="150">
        <f t="shared" si="72"/>
        <v>2712</v>
      </c>
      <c r="L76" s="150">
        <f t="shared" si="72"/>
        <v>254</v>
      </c>
      <c r="M76" s="150">
        <f t="shared" si="72"/>
        <v>540</v>
      </c>
      <c r="N76" s="150">
        <f t="shared" si="72"/>
        <v>1542</v>
      </c>
      <c r="O76" s="150">
        <f t="shared" si="72"/>
        <v>256</v>
      </c>
      <c r="P76" s="150">
        <f t="shared" si="72"/>
        <v>2592</v>
      </c>
      <c r="Q76" s="150">
        <f t="shared" si="72"/>
        <v>56.999999999999993</v>
      </c>
      <c r="R76" s="150">
        <f t="shared" si="72"/>
        <v>152.99999999999997</v>
      </c>
      <c r="S76" s="150">
        <f t="shared" si="72"/>
        <v>110.19999999999999</v>
      </c>
      <c r="T76" s="150">
        <f t="shared" si="72"/>
        <v>99.800000000000011</v>
      </c>
      <c r="U76" s="150">
        <f t="shared" si="72"/>
        <v>210</v>
      </c>
      <c r="V76" s="151">
        <f t="shared" si="72"/>
        <v>0</v>
      </c>
      <c r="W76" s="158">
        <f t="shared" si="72"/>
        <v>375</v>
      </c>
      <c r="X76" s="150">
        <f t="shared" si="72"/>
        <v>397</v>
      </c>
      <c r="Y76" s="151">
        <f t="shared" si="72"/>
        <v>30</v>
      </c>
      <c r="Z76" s="158">
        <f t="shared" si="72"/>
        <v>395</v>
      </c>
      <c r="AA76" s="150">
        <f t="shared" si="72"/>
        <v>334</v>
      </c>
      <c r="AB76" s="151">
        <f t="shared" si="72"/>
        <v>30</v>
      </c>
      <c r="AC76" s="158">
        <f t="shared" si="72"/>
        <v>420</v>
      </c>
      <c r="AD76" s="150">
        <f t="shared" si="72"/>
        <v>341</v>
      </c>
      <c r="AE76" s="151">
        <f t="shared" si="72"/>
        <v>30</v>
      </c>
      <c r="AF76" s="156">
        <f t="shared" si="72"/>
        <v>395</v>
      </c>
      <c r="AG76" s="150">
        <f t="shared" si="72"/>
        <v>358</v>
      </c>
      <c r="AH76" s="154">
        <f t="shared" si="72"/>
        <v>30</v>
      </c>
      <c r="AI76" s="158">
        <f t="shared" si="72"/>
        <v>376</v>
      </c>
      <c r="AJ76" s="150">
        <f t="shared" si="72"/>
        <v>346</v>
      </c>
      <c r="AK76" s="151">
        <f t="shared" si="72"/>
        <v>30</v>
      </c>
      <c r="AL76" s="156">
        <f t="shared" si="72"/>
        <v>521</v>
      </c>
      <c r="AM76" s="150">
        <f t="shared" si="72"/>
        <v>242</v>
      </c>
      <c r="AN76" s="154">
        <f t="shared" si="72"/>
        <v>30</v>
      </c>
      <c r="AO76" s="158">
        <f t="shared" si="72"/>
        <v>230</v>
      </c>
      <c r="AP76" s="150">
        <f t="shared" si="72"/>
        <v>574</v>
      </c>
      <c r="AQ76" s="151">
        <f t="shared" si="72"/>
        <v>30</v>
      </c>
      <c r="AS76" s="147"/>
      <c r="AT76" s="148"/>
      <c r="AU76" s="149">
        <f>U76-Y76-AB76-AE76-AH76-AK76-AN76-AQ76</f>
        <v>0</v>
      </c>
    </row>
    <row r="77" spans="1:47" ht="15.75" hidden="1" thickBot="1" x14ac:dyDescent="0.3">
      <c r="A77" s="227"/>
      <c r="B77" s="228"/>
      <c r="C77" s="228"/>
      <c r="D77" s="155" t="s">
        <v>195</v>
      </c>
      <c r="E77" s="159" t="e">
        <f>E72+E71+#REF!+E32+E22+E14</f>
        <v>#REF!</v>
      </c>
      <c r="F77" s="152" t="e">
        <f>F72+F71+#REF!+F32+F22+F14</f>
        <v>#REF!</v>
      </c>
      <c r="G77" s="152" t="e">
        <f>G72+G71+#REF!+G32+G22+G14</f>
        <v>#REF!</v>
      </c>
      <c r="H77" s="152" t="e">
        <f>H72+H71+#REF!+H32+H22+H14</f>
        <v>#REF!</v>
      </c>
      <c r="I77" s="152" t="e">
        <f>I72+I71+#REF!+I32+I22+I14</f>
        <v>#REF!</v>
      </c>
      <c r="J77" s="152"/>
      <c r="K77" s="152" t="e">
        <f>K72+K71+#REF!+K32+K22+K14</f>
        <v>#REF!</v>
      </c>
      <c r="L77" s="152" t="e">
        <f>L72+L71+#REF!+L32+L22+L14</f>
        <v>#REF!</v>
      </c>
      <c r="M77" s="152" t="e">
        <f>M72+M71+#REF!+M32+M22+M14</f>
        <v>#REF!</v>
      </c>
      <c r="N77" s="152" t="e">
        <f>N72+N71+#REF!+N32+N22+N14</f>
        <v>#REF!</v>
      </c>
      <c r="O77" s="152" t="e">
        <f>O72+O71+#REF!+O32+O22+O14</f>
        <v>#REF!</v>
      </c>
      <c r="P77" s="152" t="e">
        <f>P72+P71+#REF!+P32+P22+P14</f>
        <v>#REF!</v>
      </c>
      <c r="Q77" s="152" t="e">
        <f>Q72+Q71+#REF!+Q32+Q22+Q14</f>
        <v>#REF!</v>
      </c>
      <c r="R77" s="152" t="e">
        <f>R72+R71+#REF!+R32+R22+R14</f>
        <v>#REF!</v>
      </c>
      <c r="S77" s="152" t="e">
        <f>S72+S71+#REF!+S32+S22+S14</f>
        <v>#REF!</v>
      </c>
      <c r="T77" s="152" t="e">
        <f>T72+T71+#REF!+T32+T22+T14</f>
        <v>#REF!</v>
      </c>
      <c r="U77" s="152" t="e">
        <f>U72+U71+#REF!+U32+U22+U14</f>
        <v>#REF!</v>
      </c>
      <c r="V77" s="153" t="e">
        <f>V72+V71+#REF!+V32+V22+V14</f>
        <v>#REF!</v>
      </c>
      <c r="W77" s="159" t="e">
        <f>W72+W71+#REF!+W32+W22+W14</f>
        <v>#REF!</v>
      </c>
      <c r="X77" s="152" t="e">
        <f>X72+X71+#REF!+X32+X22+X14</f>
        <v>#REF!</v>
      </c>
      <c r="Y77" s="153" t="e">
        <f>Y72+Y71+#REF!+Y32+Y22+Y14</f>
        <v>#REF!</v>
      </c>
      <c r="Z77" s="159"/>
      <c r="AA77" s="152"/>
      <c r="AB77" s="153"/>
      <c r="AC77" s="159"/>
      <c r="AD77" s="152"/>
      <c r="AE77" s="153"/>
      <c r="AF77" s="157"/>
      <c r="AG77" s="152"/>
      <c r="AH77" s="155"/>
      <c r="AI77" s="159"/>
      <c r="AJ77" s="152"/>
      <c r="AK77" s="153"/>
      <c r="AL77" s="157"/>
      <c r="AM77" s="152"/>
      <c r="AN77" s="155"/>
      <c r="AO77" s="159"/>
      <c r="AP77" s="152"/>
      <c r="AQ77" s="153"/>
      <c r="AS77" s="160"/>
      <c r="AT77" s="161"/>
      <c r="AU77" s="162" t="e">
        <f>U77-Y77-AB77-AE77-AH77-AK77-AN77-AQ77</f>
        <v>#REF!</v>
      </c>
    </row>
    <row r="78" spans="1:47" ht="15.75" thickBot="1" x14ac:dyDescent="0.3"/>
    <row r="79" spans="1:47" ht="15.75" thickBot="1" x14ac:dyDescent="0.3">
      <c r="B79" s="244" t="s">
        <v>196</v>
      </c>
      <c r="C79" s="245"/>
      <c r="D79" s="245"/>
      <c r="E79" s="135" t="s">
        <v>193</v>
      </c>
      <c r="F79" s="173" t="s">
        <v>194</v>
      </c>
      <c r="G79" s="176"/>
    </row>
    <row r="80" spans="1:47" x14ac:dyDescent="0.25">
      <c r="B80" s="246" t="s">
        <v>197</v>
      </c>
      <c r="C80" s="247"/>
      <c r="D80" s="247"/>
      <c r="E80" s="136">
        <f>K14+K22+K32+K53+K71+K72</f>
        <v>2712</v>
      </c>
      <c r="F80" s="174">
        <f>K14+K22+K32+K62+K71+K72</f>
        <v>2712</v>
      </c>
      <c r="G80" s="177" t="s">
        <v>198</v>
      </c>
    </row>
    <row r="81" spans="2:7" x14ac:dyDescent="0.25">
      <c r="B81" s="237" t="s">
        <v>17</v>
      </c>
      <c r="C81" s="238"/>
      <c r="D81" s="238"/>
      <c r="E81" s="54">
        <f>P14+P22+P32+P53+P71+P72</f>
        <v>2592</v>
      </c>
      <c r="F81" s="72">
        <f>P14+P22+P32+P62+P71+P72</f>
        <v>2592</v>
      </c>
      <c r="G81" s="177"/>
    </row>
    <row r="82" spans="2:7" x14ac:dyDescent="0.25">
      <c r="B82" s="237" t="s">
        <v>199</v>
      </c>
      <c r="C82" s="238"/>
      <c r="D82" s="238"/>
      <c r="E82" s="54">
        <f>E80+E81</f>
        <v>5304</v>
      </c>
      <c r="F82" s="72">
        <f>F80+F81</f>
        <v>5304</v>
      </c>
      <c r="G82" s="177"/>
    </row>
    <row r="83" spans="2:7" x14ac:dyDescent="0.25">
      <c r="B83" s="237" t="s">
        <v>200</v>
      </c>
      <c r="C83" s="238"/>
      <c r="D83" s="238"/>
      <c r="E83" s="54">
        <f>U14+U22+U32+U53+U71+U72</f>
        <v>210</v>
      </c>
      <c r="F83" s="72">
        <f>U14+U22+U32+U62+U71+U72</f>
        <v>210</v>
      </c>
      <c r="G83" s="177"/>
    </row>
    <row r="84" spans="2:7" x14ac:dyDescent="0.25">
      <c r="B84" s="237" t="s">
        <v>201</v>
      </c>
      <c r="C84" s="238"/>
      <c r="D84" s="238"/>
      <c r="E84" s="137">
        <f>(R14+R22+R32+R53+R72+R71)/E83</f>
        <v>0.72809523809523813</v>
      </c>
      <c r="F84" s="175">
        <f>(R14+R22+R32+R62+R72+R71)/F83</f>
        <v>0.72857142857142854</v>
      </c>
      <c r="G84" s="178"/>
    </row>
    <row r="85" spans="2:7" x14ac:dyDescent="0.25">
      <c r="B85" s="237" t="s">
        <v>202</v>
      </c>
      <c r="C85" s="238"/>
      <c r="D85" s="238"/>
      <c r="E85" s="137">
        <f>(U20+U21+U53+U71+U74)/E83</f>
        <v>0.31904761904761902</v>
      </c>
      <c r="F85" s="175">
        <f>(U20+U21+U62+U71+U74)/F83</f>
        <v>0.31904761904761902</v>
      </c>
      <c r="G85" s="178"/>
    </row>
    <row r="86" spans="2:7" x14ac:dyDescent="0.25">
      <c r="B86" s="237" t="s">
        <v>203</v>
      </c>
      <c r="C86" s="238"/>
      <c r="D86" s="238"/>
      <c r="E86" s="137">
        <f>(S14+S22+S32+S53+S71+S72)/E83</f>
        <v>0.52523809523809517</v>
      </c>
      <c r="F86" s="175">
        <f>(S14+S22+S32+S62+S71+S72)/F83</f>
        <v>0.52476190476190476</v>
      </c>
      <c r="G86" s="178"/>
    </row>
    <row r="87" spans="2:7" ht="15.75" thickBot="1" x14ac:dyDescent="0.3">
      <c r="B87" s="239" t="s">
        <v>325</v>
      </c>
      <c r="C87" s="240"/>
      <c r="D87" s="240"/>
      <c r="E87" s="63">
        <f>ROUND(E82/E83,1)</f>
        <v>25.3</v>
      </c>
      <c r="F87" s="77">
        <f>ROUND(F82/F83,1)</f>
        <v>25.3</v>
      </c>
      <c r="G87" s="177"/>
    </row>
    <row r="89" spans="2:7" x14ac:dyDescent="0.25">
      <c r="B89" t="s">
        <v>204</v>
      </c>
    </row>
    <row r="91" spans="2:7" x14ac:dyDescent="0.25">
      <c r="B91" s="181" t="s">
        <v>205</v>
      </c>
    </row>
    <row r="92" spans="2:7" x14ac:dyDescent="0.25">
      <c r="B92" t="s">
        <v>206</v>
      </c>
    </row>
    <row r="93" spans="2:7" x14ac:dyDescent="0.25">
      <c r="B93" t="s">
        <v>207</v>
      </c>
    </row>
    <row r="94" spans="2:7" x14ac:dyDescent="0.25">
      <c r="B94" t="s">
        <v>208</v>
      </c>
    </row>
    <row r="95" spans="2:7" x14ac:dyDescent="0.25">
      <c r="B95" t="s">
        <v>209</v>
      </c>
    </row>
    <row r="96" spans="2:7" x14ac:dyDescent="0.25">
      <c r="B96" t="s">
        <v>210</v>
      </c>
    </row>
    <row r="97" spans="2:2" x14ac:dyDescent="0.25">
      <c r="B97" t="s">
        <v>211</v>
      </c>
    </row>
    <row r="98" spans="2:2" x14ac:dyDescent="0.25">
      <c r="B98" t="s">
        <v>212</v>
      </c>
    </row>
    <row r="99" spans="2:2" x14ac:dyDescent="0.25">
      <c r="B99" t="s">
        <v>213</v>
      </c>
    </row>
    <row r="100" spans="2:2" x14ac:dyDescent="0.25">
      <c r="B100" t="s">
        <v>214</v>
      </c>
    </row>
    <row r="101" spans="2:2" x14ac:dyDescent="0.25">
      <c r="B101" t="s">
        <v>215</v>
      </c>
    </row>
    <row r="102" spans="2:2" x14ac:dyDescent="0.25">
      <c r="B102" t="s">
        <v>216</v>
      </c>
    </row>
    <row r="103" spans="2:2" x14ac:dyDescent="0.25">
      <c r="B103" t="s">
        <v>217</v>
      </c>
    </row>
    <row r="104" spans="2:2" x14ac:dyDescent="0.25">
      <c r="B104" t="s">
        <v>218</v>
      </c>
    </row>
    <row r="105" spans="2:2" x14ac:dyDescent="0.25">
      <c r="B105" t="s">
        <v>219</v>
      </c>
    </row>
    <row r="106" spans="2:2" x14ac:dyDescent="0.25">
      <c r="B106" t="s">
        <v>220</v>
      </c>
    </row>
    <row r="107" spans="2:2" x14ac:dyDescent="0.25">
      <c r="B107" t="s">
        <v>221</v>
      </c>
    </row>
    <row r="109" spans="2:2" x14ac:dyDescent="0.25">
      <c r="B109" s="181" t="s">
        <v>333</v>
      </c>
    </row>
    <row r="110" spans="2:2" x14ac:dyDescent="0.25">
      <c r="B110" t="s">
        <v>334</v>
      </c>
    </row>
    <row r="111" spans="2:2" x14ac:dyDescent="0.25">
      <c r="B111" t="s">
        <v>335</v>
      </c>
    </row>
    <row r="112" spans="2:2" x14ac:dyDescent="0.25">
      <c r="B112" t="s">
        <v>336</v>
      </c>
    </row>
    <row r="113" spans="2:2" x14ac:dyDescent="0.25">
      <c r="B113" t="s">
        <v>337</v>
      </c>
    </row>
    <row r="114" spans="2:2" x14ac:dyDescent="0.25">
      <c r="B114" t="s">
        <v>338</v>
      </c>
    </row>
    <row r="116" spans="2:2" x14ac:dyDescent="0.25">
      <c r="B116" s="181" t="s">
        <v>63</v>
      </c>
    </row>
    <row r="117" spans="2:2" x14ac:dyDescent="0.25">
      <c r="B117" t="s">
        <v>339</v>
      </c>
    </row>
    <row r="118" spans="2:2" x14ac:dyDescent="0.25">
      <c r="B118" t="s">
        <v>340</v>
      </c>
    </row>
    <row r="119" spans="2:2" x14ac:dyDescent="0.25">
      <c r="B119" t="s">
        <v>341</v>
      </c>
    </row>
    <row r="120" spans="2:2" x14ac:dyDescent="0.25">
      <c r="B120" t="s">
        <v>342</v>
      </c>
    </row>
    <row r="121" spans="2:2" x14ac:dyDescent="0.25">
      <c r="B121" t="s">
        <v>343</v>
      </c>
    </row>
  </sheetData>
  <mergeCells count="46">
    <mergeCell ref="B84:D84"/>
    <mergeCell ref="B85:D85"/>
    <mergeCell ref="B86:D86"/>
    <mergeCell ref="B87:D87"/>
    <mergeCell ref="AS12:AU12"/>
    <mergeCell ref="B79:D79"/>
    <mergeCell ref="B80:D80"/>
    <mergeCell ref="B81:D81"/>
    <mergeCell ref="B82:D82"/>
    <mergeCell ref="B83:D83"/>
    <mergeCell ref="AF12:AH12"/>
    <mergeCell ref="AI12:AK12"/>
    <mergeCell ref="AL12:AN12"/>
    <mergeCell ref="AO12:AQ12"/>
    <mergeCell ref="V12:V13"/>
    <mergeCell ref="Z12:AB12"/>
    <mergeCell ref="AC12:AE12"/>
    <mergeCell ref="A75:C77"/>
    <mergeCell ref="A6:B6"/>
    <mergeCell ref="A5:B5"/>
    <mergeCell ref="A7:B7"/>
    <mergeCell ref="A8:B8"/>
    <mergeCell ref="B72:D72"/>
    <mergeCell ref="B32:D32"/>
    <mergeCell ref="B22:D22"/>
    <mergeCell ref="B14:D14"/>
    <mergeCell ref="B71:C71"/>
    <mergeCell ref="B62:D62"/>
    <mergeCell ref="B53:D53"/>
    <mergeCell ref="C5:H5"/>
    <mergeCell ref="C6:H6"/>
    <mergeCell ref="C7:H7"/>
    <mergeCell ref="L12:P12"/>
    <mergeCell ref="Q12:U12"/>
    <mergeCell ref="W12:Y12"/>
    <mergeCell ref="A12:A13"/>
    <mergeCell ref="B12:B13"/>
    <mergeCell ref="C12:C13"/>
    <mergeCell ref="D12:D13"/>
    <mergeCell ref="E12:K12"/>
    <mergeCell ref="A3:AQ3"/>
    <mergeCell ref="A2:AQ2"/>
    <mergeCell ref="C8:H8"/>
    <mergeCell ref="A10:B10"/>
    <mergeCell ref="C10:X10"/>
    <mergeCell ref="C9:K9"/>
  </mergeCells>
  <pageMargins left="0.25" right="0.25" top="0.75" bottom="0.75" header="0.3" footer="0.3"/>
  <pageSetup paperSize="9" scale="40" orientation="landscape" r:id="rId1"/>
  <ignoredErrors>
    <ignoredError sqref="M27:N27 O22:U22 L32:U52 L53:U61 K62:U72 K53:K61" formula="1"/>
    <ignoredError sqref="E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A4" sqref="A4"/>
    </sheetView>
  </sheetViews>
  <sheetFormatPr defaultRowHeight="15" x14ac:dyDescent="0.25"/>
  <cols>
    <col min="1" max="1" width="9.7109375" customWidth="1"/>
    <col min="2" max="2" width="55.7109375" customWidth="1"/>
    <col min="3" max="4" width="17.7109375" customWidth="1"/>
  </cols>
  <sheetData>
    <row r="1" spans="1:4" ht="50.45" customHeight="1" x14ac:dyDescent="0.25">
      <c r="A1" s="250" t="s">
        <v>14</v>
      </c>
      <c r="B1" s="252" t="s">
        <v>222</v>
      </c>
      <c r="C1" s="252" t="s">
        <v>223</v>
      </c>
      <c r="D1" s="254" t="s">
        <v>224</v>
      </c>
    </row>
    <row r="2" spans="1:4" ht="28.9" customHeight="1" thickBot="1" x14ac:dyDescent="0.3">
      <c r="A2" s="251"/>
      <c r="B2" s="253"/>
      <c r="C2" s="253"/>
      <c r="D2" s="255"/>
    </row>
    <row r="3" spans="1:4" ht="15" customHeight="1" x14ac:dyDescent="0.25">
      <c r="A3" s="259" t="s">
        <v>225</v>
      </c>
      <c r="B3" s="260"/>
      <c r="C3" s="260"/>
      <c r="D3" s="261"/>
    </row>
    <row r="4" spans="1:4" ht="45" customHeight="1" x14ac:dyDescent="0.25">
      <c r="A4" s="165" t="s">
        <v>226</v>
      </c>
      <c r="B4" s="164" t="s">
        <v>327</v>
      </c>
      <c r="C4" s="163" t="s">
        <v>227</v>
      </c>
      <c r="D4" s="166" t="s">
        <v>228</v>
      </c>
    </row>
    <row r="5" spans="1:4" ht="62.45" customHeight="1" x14ac:dyDescent="0.25">
      <c r="A5" s="165" t="s">
        <v>229</v>
      </c>
      <c r="B5" s="164" t="s">
        <v>230</v>
      </c>
      <c r="C5" s="163" t="s">
        <v>227</v>
      </c>
      <c r="D5" s="166" t="s">
        <v>231</v>
      </c>
    </row>
    <row r="6" spans="1:4" ht="45" customHeight="1" x14ac:dyDescent="0.25">
      <c r="A6" s="165" t="s">
        <v>232</v>
      </c>
      <c r="B6" s="164" t="s">
        <v>328</v>
      </c>
      <c r="C6" s="163" t="s">
        <v>227</v>
      </c>
      <c r="D6" s="166" t="s">
        <v>231</v>
      </c>
    </row>
    <row r="7" spans="1:4" ht="45" customHeight="1" x14ac:dyDescent="0.25">
      <c r="A7" s="165" t="s">
        <v>233</v>
      </c>
      <c r="B7" s="164" t="s">
        <v>329</v>
      </c>
      <c r="C7" s="163" t="s">
        <v>227</v>
      </c>
      <c r="D7" s="166" t="s">
        <v>234</v>
      </c>
    </row>
    <row r="8" spans="1:4" ht="45" customHeight="1" x14ac:dyDescent="0.25">
      <c r="A8" s="165" t="s">
        <v>235</v>
      </c>
      <c r="B8" s="164" t="s">
        <v>330</v>
      </c>
      <c r="C8" s="163" t="s">
        <v>227</v>
      </c>
      <c r="D8" s="166" t="s">
        <v>231</v>
      </c>
    </row>
    <row r="9" spans="1:4" ht="45" customHeight="1" x14ac:dyDescent="0.25">
      <c r="A9" s="165" t="s">
        <v>236</v>
      </c>
      <c r="B9" s="164" t="s">
        <v>237</v>
      </c>
      <c r="C9" s="163" t="s">
        <v>227</v>
      </c>
      <c r="D9" s="166" t="s">
        <v>234</v>
      </c>
    </row>
    <row r="10" spans="1:4" ht="45" customHeight="1" x14ac:dyDescent="0.25">
      <c r="A10" s="165" t="s">
        <v>238</v>
      </c>
      <c r="B10" s="164" t="s">
        <v>239</v>
      </c>
      <c r="C10" s="163" t="s">
        <v>227</v>
      </c>
      <c r="D10" s="166" t="s">
        <v>234</v>
      </c>
    </row>
    <row r="11" spans="1:4" ht="45" customHeight="1" x14ac:dyDescent="0.25">
      <c r="A11" s="165" t="s">
        <v>240</v>
      </c>
      <c r="B11" s="164" t="s">
        <v>241</v>
      </c>
      <c r="C11" s="163" t="s">
        <v>227</v>
      </c>
      <c r="D11" s="166" t="s">
        <v>234</v>
      </c>
    </row>
    <row r="12" spans="1:4" ht="45" customHeight="1" x14ac:dyDescent="0.25">
      <c r="A12" s="165" t="s">
        <v>242</v>
      </c>
      <c r="B12" s="164" t="s">
        <v>243</v>
      </c>
      <c r="C12" s="163" t="s">
        <v>227</v>
      </c>
      <c r="D12" s="166" t="s">
        <v>234</v>
      </c>
    </row>
    <row r="13" spans="1:4" ht="45" customHeight="1" x14ac:dyDescent="0.25">
      <c r="A13" s="165" t="s">
        <v>244</v>
      </c>
      <c r="B13" s="164" t="s">
        <v>245</v>
      </c>
      <c r="C13" s="163" t="s">
        <v>227</v>
      </c>
      <c r="D13" s="166" t="s">
        <v>234</v>
      </c>
    </row>
    <row r="14" spans="1:4" ht="45" customHeight="1" x14ac:dyDescent="0.25">
      <c r="A14" s="165" t="s">
        <v>246</v>
      </c>
      <c r="B14" s="164" t="s">
        <v>247</v>
      </c>
      <c r="C14" s="163" t="s">
        <v>227</v>
      </c>
      <c r="D14" s="166" t="s">
        <v>234</v>
      </c>
    </row>
    <row r="15" spans="1:4" ht="45" customHeight="1" x14ac:dyDescent="0.25">
      <c r="A15" s="165" t="s">
        <v>248</v>
      </c>
      <c r="B15" s="164" t="s">
        <v>249</v>
      </c>
      <c r="C15" s="163" t="s">
        <v>227</v>
      </c>
      <c r="D15" s="166" t="s">
        <v>234</v>
      </c>
    </row>
    <row r="16" spans="1:4" ht="47.45" customHeight="1" x14ac:dyDescent="0.25">
      <c r="A16" s="165" t="s">
        <v>250</v>
      </c>
      <c r="B16" s="164" t="s">
        <v>331</v>
      </c>
      <c r="C16" s="163" t="s">
        <v>227</v>
      </c>
      <c r="D16" s="166" t="s">
        <v>234</v>
      </c>
    </row>
    <row r="17" spans="1:4" ht="57.6" customHeight="1" x14ac:dyDescent="0.25">
      <c r="A17" s="165" t="s">
        <v>251</v>
      </c>
      <c r="B17" s="164" t="s">
        <v>332</v>
      </c>
      <c r="C17" s="163" t="s">
        <v>227</v>
      </c>
      <c r="D17" s="166" t="s">
        <v>234</v>
      </c>
    </row>
    <row r="18" spans="1:4" ht="45" customHeight="1" x14ac:dyDescent="0.25">
      <c r="A18" s="165" t="s">
        <v>252</v>
      </c>
      <c r="B18" s="164" t="s">
        <v>253</v>
      </c>
      <c r="C18" s="163" t="s">
        <v>227</v>
      </c>
      <c r="D18" s="166" t="s">
        <v>234</v>
      </c>
    </row>
    <row r="19" spans="1:4" ht="45" customHeight="1" x14ac:dyDescent="0.25">
      <c r="A19" s="165" t="s">
        <v>254</v>
      </c>
      <c r="B19" s="164" t="s">
        <v>255</v>
      </c>
      <c r="C19" s="163" t="s">
        <v>227</v>
      </c>
      <c r="D19" s="166" t="s">
        <v>234</v>
      </c>
    </row>
    <row r="20" spans="1:4" ht="15" customHeight="1" x14ac:dyDescent="0.25">
      <c r="A20" s="256" t="s">
        <v>256</v>
      </c>
      <c r="B20" s="257"/>
      <c r="C20" s="257"/>
      <c r="D20" s="258"/>
    </row>
    <row r="21" spans="1:4" ht="53.45" customHeight="1" x14ac:dyDescent="0.25">
      <c r="A21" s="165" t="s">
        <v>257</v>
      </c>
      <c r="B21" s="164" t="s">
        <v>258</v>
      </c>
      <c r="C21" s="163" t="s">
        <v>259</v>
      </c>
      <c r="D21" s="166" t="s">
        <v>260</v>
      </c>
    </row>
    <row r="22" spans="1:4" ht="63.6" customHeight="1" x14ac:dyDescent="0.25">
      <c r="A22" s="165" t="s">
        <v>261</v>
      </c>
      <c r="B22" s="164" t="s">
        <v>262</v>
      </c>
      <c r="C22" s="163" t="s">
        <v>259</v>
      </c>
      <c r="D22" s="166" t="s">
        <v>260</v>
      </c>
    </row>
    <row r="23" spans="1:4" ht="45" customHeight="1" x14ac:dyDescent="0.25">
      <c r="A23" s="165" t="s">
        <v>263</v>
      </c>
      <c r="B23" s="164" t="s">
        <v>264</v>
      </c>
      <c r="C23" s="163" t="s">
        <v>259</v>
      </c>
      <c r="D23" s="166" t="s">
        <v>265</v>
      </c>
    </row>
    <row r="24" spans="1:4" ht="45" customHeight="1" x14ac:dyDescent="0.25">
      <c r="A24" s="165" t="s">
        <v>266</v>
      </c>
      <c r="B24" s="164" t="s">
        <v>267</v>
      </c>
      <c r="C24" s="163" t="s">
        <v>259</v>
      </c>
      <c r="D24" s="166" t="s">
        <v>265</v>
      </c>
    </row>
    <row r="25" spans="1:4" ht="45" customHeight="1" x14ac:dyDescent="0.25">
      <c r="A25" s="165" t="s">
        <v>268</v>
      </c>
      <c r="B25" s="164" t="s">
        <v>269</v>
      </c>
      <c r="C25" s="163" t="s">
        <v>259</v>
      </c>
      <c r="D25" s="166" t="s">
        <v>265</v>
      </c>
    </row>
    <row r="26" spans="1:4" ht="45" customHeight="1" x14ac:dyDescent="0.25">
      <c r="A26" s="165" t="s">
        <v>270</v>
      </c>
      <c r="B26" s="164" t="s">
        <v>271</v>
      </c>
      <c r="C26" s="163" t="s">
        <v>259</v>
      </c>
      <c r="D26" s="166" t="s">
        <v>265</v>
      </c>
    </row>
    <row r="27" spans="1:4" ht="45" customHeight="1" x14ac:dyDescent="0.25">
      <c r="A27" s="165" t="s">
        <v>272</v>
      </c>
      <c r="B27" s="172" t="s">
        <v>273</v>
      </c>
      <c r="C27" s="163" t="s">
        <v>259</v>
      </c>
      <c r="D27" s="166" t="s">
        <v>265</v>
      </c>
    </row>
    <row r="28" spans="1:4" ht="45" customHeight="1" x14ac:dyDescent="0.25">
      <c r="A28" s="165" t="s">
        <v>274</v>
      </c>
      <c r="B28" s="164" t="s">
        <v>275</v>
      </c>
      <c r="C28" s="163" t="s">
        <v>259</v>
      </c>
      <c r="D28" s="166" t="s">
        <v>265</v>
      </c>
    </row>
    <row r="29" spans="1:4" ht="45" customHeight="1" x14ac:dyDescent="0.25">
      <c r="A29" s="165" t="s">
        <v>276</v>
      </c>
      <c r="B29" s="164" t="s">
        <v>277</v>
      </c>
      <c r="C29" s="163" t="s">
        <v>259</v>
      </c>
      <c r="D29" s="166" t="s">
        <v>265</v>
      </c>
    </row>
    <row r="30" spans="1:4" ht="66" customHeight="1" x14ac:dyDescent="0.25">
      <c r="A30" s="165" t="s">
        <v>278</v>
      </c>
      <c r="B30" s="164" t="s">
        <v>279</v>
      </c>
      <c r="C30" s="163" t="s">
        <v>259</v>
      </c>
      <c r="D30" s="166" t="s">
        <v>265</v>
      </c>
    </row>
    <row r="31" spans="1:4" ht="64.900000000000006" customHeight="1" x14ac:dyDescent="0.25">
      <c r="A31" s="165" t="s">
        <v>280</v>
      </c>
      <c r="B31" s="164" t="s">
        <v>281</v>
      </c>
      <c r="C31" s="163" t="s">
        <v>259</v>
      </c>
      <c r="D31" s="166" t="s">
        <v>265</v>
      </c>
    </row>
    <row r="32" spans="1:4" ht="75" customHeight="1" x14ac:dyDescent="0.25">
      <c r="A32" s="165" t="s">
        <v>282</v>
      </c>
      <c r="B32" s="198" t="s">
        <v>344</v>
      </c>
      <c r="C32" s="163" t="s">
        <v>259</v>
      </c>
      <c r="D32" s="166" t="s">
        <v>265</v>
      </c>
    </row>
    <row r="33" spans="1:4" ht="45" customHeight="1" x14ac:dyDescent="0.25">
      <c r="A33" s="165" t="s">
        <v>283</v>
      </c>
      <c r="B33" s="164" t="s">
        <v>284</v>
      </c>
      <c r="C33" s="163" t="s">
        <v>259</v>
      </c>
      <c r="D33" s="166" t="s">
        <v>265</v>
      </c>
    </row>
    <row r="34" spans="1:4" ht="45" customHeight="1" x14ac:dyDescent="0.25">
      <c r="A34" s="165" t="s">
        <v>285</v>
      </c>
      <c r="B34" s="164" t="s">
        <v>286</v>
      </c>
      <c r="C34" s="163" t="s">
        <v>259</v>
      </c>
      <c r="D34" s="166" t="s">
        <v>265</v>
      </c>
    </row>
    <row r="35" spans="1:4" ht="45" customHeight="1" x14ac:dyDescent="0.25">
      <c r="A35" s="165" t="s">
        <v>287</v>
      </c>
      <c r="B35" s="164" t="s">
        <v>288</v>
      </c>
      <c r="C35" s="163" t="s">
        <v>259</v>
      </c>
      <c r="D35" s="166" t="s">
        <v>265</v>
      </c>
    </row>
    <row r="36" spans="1:4" ht="45" customHeight="1" x14ac:dyDescent="0.25">
      <c r="A36" s="165" t="s">
        <v>289</v>
      </c>
      <c r="B36" s="164" t="s">
        <v>290</v>
      </c>
      <c r="C36" s="163" t="s">
        <v>259</v>
      </c>
      <c r="D36" s="166" t="s">
        <v>265</v>
      </c>
    </row>
    <row r="37" spans="1:4" ht="45" customHeight="1" x14ac:dyDescent="0.25">
      <c r="A37" s="165" t="s">
        <v>291</v>
      </c>
      <c r="B37" s="164" t="s">
        <v>292</v>
      </c>
      <c r="C37" s="163" t="s">
        <v>259</v>
      </c>
      <c r="D37" s="166" t="s">
        <v>265</v>
      </c>
    </row>
    <row r="38" spans="1:4" ht="45" customHeight="1" x14ac:dyDescent="0.25">
      <c r="A38" s="165" t="s">
        <v>293</v>
      </c>
      <c r="B38" s="164" t="s">
        <v>294</v>
      </c>
      <c r="C38" s="163" t="s">
        <v>259</v>
      </c>
      <c r="D38" s="166" t="s">
        <v>265</v>
      </c>
    </row>
    <row r="39" spans="1:4" ht="45" customHeight="1" x14ac:dyDescent="0.25">
      <c r="A39" s="165" t="s">
        <v>295</v>
      </c>
      <c r="B39" s="164" t="s">
        <v>296</v>
      </c>
      <c r="C39" s="163" t="s">
        <v>259</v>
      </c>
      <c r="D39" s="166" t="s">
        <v>265</v>
      </c>
    </row>
    <row r="40" spans="1:4" ht="45" customHeight="1" x14ac:dyDescent="0.25">
      <c r="A40" s="165" t="s">
        <v>297</v>
      </c>
      <c r="B40" s="164" t="s">
        <v>298</v>
      </c>
      <c r="C40" s="163" t="s">
        <v>259</v>
      </c>
      <c r="D40" s="166" t="s">
        <v>265</v>
      </c>
    </row>
    <row r="41" spans="1:4" ht="80.25" customHeight="1" x14ac:dyDescent="0.25">
      <c r="A41" s="165" t="s">
        <v>299</v>
      </c>
      <c r="B41" s="164" t="s">
        <v>300</v>
      </c>
      <c r="C41" s="163" t="s">
        <v>259</v>
      </c>
      <c r="D41" s="166" t="s">
        <v>265</v>
      </c>
    </row>
    <row r="42" spans="1:4" ht="57" customHeight="1" x14ac:dyDescent="0.25">
      <c r="A42" s="165" t="s">
        <v>301</v>
      </c>
      <c r="B42" s="164" t="s">
        <v>302</v>
      </c>
      <c r="C42" s="163" t="s">
        <v>259</v>
      </c>
      <c r="D42" s="166" t="s">
        <v>265</v>
      </c>
    </row>
    <row r="43" spans="1:4" ht="60" customHeight="1" x14ac:dyDescent="0.25">
      <c r="A43" s="165" t="s">
        <v>303</v>
      </c>
      <c r="B43" s="164" t="s">
        <v>304</v>
      </c>
      <c r="C43" s="163" t="s">
        <v>259</v>
      </c>
      <c r="D43" s="166" t="s">
        <v>305</v>
      </c>
    </row>
    <row r="44" spans="1:4" ht="60" customHeight="1" x14ac:dyDescent="0.25">
      <c r="A44" s="165" t="s">
        <v>306</v>
      </c>
      <c r="B44" s="164" t="s">
        <v>307</v>
      </c>
      <c r="C44" s="163" t="s">
        <v>259</v>
      </c>
      <c r="D44" s="166" t="s">
        <v>305</v>
      </c>
    </row>
    <row r="45" spans="1:4" ht="15" customHeight="1" x14ac:dyDescent="0.25">
      <c r="A45" s="256" t="s">
        <v>308</v>
      </c>
      <c r="B45" s="257"/>
      <c r="C45" s="257"/>
      <c r="D45" s="258"/>
    </row>
    <row r="46" spans="1:4" ht="45" customHeight="1" x14ac:dyDescent="0.25">
      <c r="A46" s="165" t="s">
        <v>309</v>
      </c>
      <c r="B46" s="164" t="s">
        <v>310</v>
      </c>
      <c r="C46" s="163" t="s">
        <v>311</v>
      </c>
      <c r="D46" s="166" t="s">
        <v>312</v>
      </c>
    </row>
    <row r="47" spans="1:4" ht="45" customHeight="1" x14ac:dyDescent="0.25">
      <c r="A47" s="165" t="s">
        <v>313</v>
      </c>
      <c r="B47" s="164" t="s">
        <v>314</v>
      </c>
      <c r="C47" s="163" t="s">
        <v>311</v>
      </c>
      <c r="D47" s="166" t="s">
        <v>315</v>
      </c>
    </row>
    <row r="48" spans="1:4" ht="45" customHeight="1" x14ac:dyDescent="0.25">
      <c r="A48" s="165" t="s">
        <v>316</v>
      </c>
      <c r="B48" s="164" t="s">
        <v>317</v>
      </c>
      <c r="C48" s="163" t="s">
        <v>311</v>
      </c>
      <c r="D48" s="166" t="s">
        <v>318</v>
      </c>
    </row>
    <row r="49" spans="1:4" ht="45" customHeight="1" x14ac:dyDescent="0.25">
      <c r="A49" s="165" t="s">
        <v>319</v>
      </c>
      <c r="B49" s="164" t="s">
        <v>320</v>
      </c>
      <c r="C49" s="163" t="s">
        <v>311</v>
      </c>
      <c r="D49" s="166" t="s">
        <v>315</v>
      </c>
    </row>
    <row r="50" spans="1:4" ht="45" customHeight="1" x14ac:dyDescent="0.25">
      <c r="A50" s="165" t="s">
        <v>321</v>
      </c>
      <c r="B50" s="164" t="s">
        <v>322</v>
      </c>
      <c r="C50" s="163" t="s">
        <v>311</v>
      </c>
      <c r="D50" s="166" t="s">
        <v>312</v>
      </c>
    </row>
    <row r="51" spans="1:4" ht="45" customHeight="1" thickBot="1" x14ac:dyDescent="0.3">
      <c r="A51" s="167" t="s">
        <v>323</v>
      </c>
      <c r="B51" s="168" t="s">
        <v>324</v>
      </c>
      <c r="C51" s="169" t="s">
        <v>311</v>
      </c>
      <c r="D51" s="170" t="s">
        <v>315</v>
      </c>
    </row>
  </sheetData>
  <mergeCells count="7">
    <mergeCell ref="A1:A2"/>
    <mergeCell ref="B1:B2"/>
    <mergeCell ref="D1:D2"/>
    <mergeCell ref="C1:C2"/>
    <mergeCell ref="A45:D45"/>
    <mergeCell ref="A20:D20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workbookViewId="0">
      <selection activeCell="H10" sqref="H10"/>
    </sheetView>
  </sheetViews>
  <sheetFormatPr defaultRowHeight="15" x14ac:dyDescent="0.25"/>
  <cols>
    <col min="1" max="1" width="5.85546875" customWidth="1"/>
    <col min="2" max="2" width="46.7109375" customWidth="1"/>
    <col min="3" max="51" width="3.7109375" customWidth="1"/>
  </cols>
  <sheetData>
    <row r="1" spans="1:52" ht="48" customHeight="1" x14ac:dyDescent="0.25">
      <c r="A1" s="264" t="s">
        <v>347</v>
      </c>
      <c r="B1" s="209" t="s">
        <v>346</v>
      </c>
      <c r="C1" s="268" t="str">
        <f>'[1]Efekty uczenia się'!A3</f>
        <v>Wiedza</v>
      </c>
      <c r="D1" s="270" t="str">
        <f>'[1]Efekty uczenia się'!A4</f>
        <v>I1_W1</v>
      </c>
      <c r="E1" s="262" t="str">
        <f>'[1]Efekty uczenia się'!A5</f>
        <v>I1_W2</v>
      </c>
      <c r="F1" s="262" t="str">
        <f>'[1]Efekty uczenia się'!A6</f>
        <v>I1_W3</v>
      </c>
      <c r="G1" s="262" t="str">
        <f>'[1]Efekty uczenia się'!A7</f>
        <v>I1_W4</v>
      </c>
      <c r="H1" s="262" t="str">
        <f>'[1]Efekty uczenia się'!A8</f>
        <v>I1_W5</v>
      </c>
      <c r="I1" s="262" t="str">
        <f>'[1]Efekty uczenia się'!A9</f>
        <v>I1_W6</v>
      </c>
      <c r="J1" s="262" t="str">
        <f>'[1]Efekty uczenia się'!A10</f>
        <v>I1_W7</v>
      </c>
      <c r="K1" s="262" t="str">
        <f>'[1]Efekty uczenia się'!A11</f>
        <v>I1_W8</v>
      </c>
      <c r="L1" s="262" t="str">
        <f>'[1]Efekty uczenia się'!A12</f>
        <v>I1_W9</v>
      </c>
      <c r="M1" s="262" t="str">
        <f>'[1]Efekty uczenia się'!A13</f>
        <v>I1_W10</v>
      </c>
      <c r="N1" s="262" t="str">
        <f>'[1]Efekty uczenia się'!A14</f>
        <v>I1_W11</v>
      </c>
      <c r="O1" s="262" t="str">
        <f>'[1]Efekty uczenia się'!A15</f>
        <v>I1_W12</v>
      </c>
      <c r="P1" s="262" t="str">
        <f>'[1]Efekty uczenia się'!A16</f>
        <v>I1_W13</v>
      </c>
      <c r="Q1" s="262" t="str">
        <f>'[1]Efekty uczenia się'!A17</f>
        <v>I1_W14</v>
      </c>
      <c r="R1" s="262" t="str">
        <f>'[1]Efekty uczenia się'!A18</f>
        <v>I1_W15</v>
      </c>
      <c r="S1" s="266" t="str">
        <f>'[1]Efekty uczenia się'!A19</f>
        <v>I1_W16</v>
      </c>
      <c r="T1" s="268" t="str">
        <f>'[1]Efekty uczenia się'!A20</f>
        <v>Umiejętności</v>
      </c>
      <c r="U1" s="270" t="str">
        <f>'[1]Efekty uczenia się'!A21</f>
        <v>I1_U1</v>
      </c>
      <c r="V1" s="262" t="str">
        <f>'[1]Efekty uczenia się'!A22</f>
        <v>I1_U2</v>
      </c>
      <c r="W1" s="262" t="str">
        <f>'[1]Efekty uczenia się'!A23</f>
        <v>I1_U3</v>
      </c>
      <c r="X1" s="262" t="str">
        <f>'[1]Efekty uczenia się'!A24</f>
        <v>I1_U4</v>
      </c>
      <c r="Y1" s="262" t="str">
        <f>'[1]Efekty uczenia się'!A25</f>
        <v>I1_U5</v>
      </c>
      <c r="Z1" s="262" t="str">
        <f>'[1]Efekty uczenia się'!A26</f>
        <v>I1_U6</v>
      </c>
      <c r="AA1" s="262" t="str">
        <f>'[1]Efekty uczenia się'!A27</f>
        <v>I1_U7</v>
      </c>
      <c r="AB1" s="262" t="str">
        <f>'[1]Efekty uczenia się'!A28</f>
        <v>I1_U8</v>
      </c>
      <c r="AC1" s="262" t="str">
        <f>'[1]Efekty uczenia się'!A29</f>
        <v>I1_U9</v>
      </c>
      <c r="AD1" s="262" t="str">
        <f>'[1]Efekty uczenia się'!A30</f>
        <v>I1_U10</v>
      </c>
      <c r="AE1" s="262" t="str">
        <f>'[1]Efekty uczenia się'!A31</f>
        <v>I1_U11</v>
      </c>
      <c r="AF1" s="262" t="str">
        <f>'[1]Efekty uczenia się'!A32</f>
        <v>I1_U12</v>
      </c>
      <c r="AG1" s="262" t="str">
        <f>'[1]Efekty uczenia się'!A33</f>
        <v>I1_U13</v>
      </c>
      <c r="AH1" s="262" t="str">
        <f>'[1]Efekty uczenia się'!A34</f>
        <v>I1_U14</v>
      </c>
      <c r="AI1" s="262" t="str">
        <f>'[1]Efekty uczenia się'!A35</f>
        <v>I1_U15</v>
      </c>
      <c r="AJ1" s="262" t="str">
        <f>'[1]Efekty uczenia się'!A36</f>
        <v>I1_U16</v>
      </c>
      <c r="AK1" s="262" t="str">
        <f>'[1]Efekty uczenia się'!A37</f>
        <v>I1_U17</v>
      </c>
      <c r="AL1" s="262" t="str">
        <f>'[1]Efekty uczenia się'!A38</f>
        <v>I1_U18</v>
      </c>
      <c r="AM1" s="262" t="str">
        <f>'[1]Efekty uczenia się'!A39</f>
        <v>I1_U19</v>
      </c>
      <c r="AN1" s="262" t="str">
        <f>'[1]Efekty uczenia się'!A40</f>
        <v>I1_U20</v>
      </c>
      <c r="AO1" s="262" t="str">
        <f>'[1]Efekty uczenia się'!A41</f>
        <v>I1_U21</v>
      </c>
      <c r="AP1" s="262" t="str">
        <f>'[1]Efekty uczenia się'!A42</f>
        <v>I1_U22</v>
      </c>
      <c r="AQ1" s="262" t="str">
        <f>'[1]Efekty uczenia się'!A43</f>
        <v>I1_U23</v>
      </c>
      <c r="AR1" s="266" t="str">
        <f>'[1]Efekty uczenia się'!A44</f>
        <v>I1_U24</v>
      </c>
      <c r="AS1" s="268" t="str">
        <f>'[1]Efekty uczenia się'!A45</f>
        <v>Kompetencje społeczne</v>
      </c>
      <c r="AT1" s="270" t="str">
        <f>'[1]Efekty uczenia się'!A46</f>
        <v>I1_K1</v>
      </c>
      <c r="AU1" s="262" t="str">
        <f>'[1]Efekty uczenia się'!A47</f>
        <v>I1_K2</v>
      </c>
      <c r="AV1" s="262" t="str">
        <f>'[1]Efekty uczenia się'!A48</f>
        <v>I1_K3</v>
      </c>
      <c r="AW1" s="262" t="str">
        <f>'[1]Efekty uczenia się'!A49</f>
        <v>I1_K4</v>
      </c>
      <c r="AX1" s="262" t="str">
        <f>'[1]Efekty uczenia się'!A50</f>
        <v>I1_K5</v>
      </c>
      <c r="AY1" s="266" t="str">
        <f>'[1]Efekty uczenia się'!A51</f>
        <v>I1_K6</v>
      </c>
      <c r="AZ1" s="208"/>
    </row>
    <row r="2" spans="1:52" ht="15.75" thickBot="1" x14ac:dyDescent="0.3">
      <c r="A2" s="265"/>
      <c r="B2" s="207" t="s">
        <v>13</v>
      </c>
      <c r="C2" s="269"/>
      <c r="D2" s="271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7"/>
      <c r="T2" s="269"/>
      <c r="U2" s="271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7"/>
      <c r="AS2" s="269"/>
      <c r="AT2" s="271"/>
      <c r="AU2" s="263"/>
      <c r="AV2" s="263"/>
      <c r="AW2" s="263"/>
      <c r="AX2" s="263"/>
      <c r="AY2" s="267"/>
    </row>
    <row r="3" spans="1:52" ht="15.75" thickBot="1" x14ac:dyDescent="0.3">
      <c r="A3" s="206" t="str">
        <f>'[1]Studia stacjonarne'!A10</f>
        <v>I.</v>
      </c>
      <c r="B3" s="205" t="str">
        <f>'[1]Studia stacjonarne'!B10:D10</f>
        <v>Moduł ogólnouczelniany</v>
      </c>
      <c r="C3" s="293"/>
      <c r="D3" s="300">
        <f>COUNTA(D4:D72)</f>
        <v>5</v>
      </c>
      <c r="E3" s="300">
        <f>COUNTA(E4:E72)</f>
        <v>5</v>
      </c>
      <c r="F3" s="300">
        <f>COUNTA(F4:F72)</f>
        <v>5</v>
      </c>
      <c r="G3" s="300">
        <f>COUNTA(G4:G72)</f>
        <v>6</v>
      </c>
      <c r="H3" s="300">
        <f>COUNTA(H4:H72)</f>
        <v>5</v>
      </c>
      <c r="I3" s="300">
        <f>COUNTA(I4:I72)</f>
        <v>5</v>
      </c>
      <c r="J3" s="300">
        <f>COUNTA(J4:J72)</f>
        <v>5</v>
      </c>
      <c r="K3" s="300">
        <f>COUNTA(K4:K72)</f>
        <v>7</v>
      </c>
      <c r="L3" s="300">
        <f>COUNTA(L4:L72)</f>
        <v>5</v>
      </c>
      <c r="M3" s="300">
        <f>COUNTA(M4:M72)</f>
        <v>10</v>
      </c>
      <c r="N3" s="300">
        <f>COUNTA(N4:N72)</f>
        <v>5</v>
      </c>
      <c r="O3" s="300">
        <f>COUNTA(O4:O72)</f>
        <v>5</v>
      </c>
      <c r="P3" s="300">
        <f>COUNTA(P4:P72)</f>
        <v>5</v>
      </c>
      <c r="Q3" s="300">
        <f>COUNTA(Q4:Q72)</f>
        <v>18</v>
      </c>
      <c r="R3" s="300">
        <f>COUNTA(R4:R72)</f>
        <v>6</v>
      </c>
      <c r="S3" s="300">
        <f>COUNTA(S4:S72)</f>
        <v>6</v>
      </c>
      <c r="T3" s="297"/>
      <c r="U3" s="300">
        <f>COUNTA(U4:U72)</f>
        <v>2</v>
      </c>
      <c r="V3" s="300">
        <f>COUNTA(V4:V72)</f>
        <v>8</v>
      </c>
      <c r="W3" s="300">
        <f>COUNTA(W4:W72)</f>
        <v>7</v>
      </c>
      <c r="X3" s="300">
        <f>COUNTA(X4:X72)</f>
        <v>6</v>
      </c>
      <c r="Y3" s="300">
        <f>COUNTA(Y4:Y72)</f>
        <v>6</v>
      </c>
      <c r="Z3" s="300">
        <f>COUNTA(Z4:Z72)</f>
        <v>6</v>
      </c>
      <c r="AA3" s="300">
        <f>COUNTA(AA4:AA72)</f>
        <v>5</v>
      </c>
      <c r="AB3" s="300">
        <f>COUNTA(AB4:AB72)</f>
        <v>6</v>
      </c>
      <c r="AC3" s="300">
        <f>COUNTA(AC4:AC72)</f>
        <v>6</v>
      </c>
      <c r="AD3" s="300">
        <f>COUNTA(AD4:AD72)</f>
        <v>6</v>
      </c>
      <c r="AE3" s="300">
        <f>COUNTA(AE4:AE72)</f>
        <v>6</v>
      </c>
      <c r="AF3" s="300">
        <f>COUNTA(AF4:AF72)</f>
        <v>7</v>
      </c>
      <c r="AG3" s="300">
        <f>COUNTA(AG4:AG72)</f>
        <v>9</v>
      </c>
      <c r="AH3" s="300">
        <f>COUNTA(AH4:AH72)</f>
        <v>5</v>
      </c>
      <c r="AI3" s="300">
        <f>COUNTA(AI4:AI72)</f>
        <v>5</v>
      </c>
      <c r="AJ3" s="300">
        <f>COUNTA(AJ4:AJ72)</f>
        <v>5</v>
      </c>
      <c r="AK3" s="300">
        <f>COUNTA(AK4:AK72)</f>
        <v>7</v>
      </c>
      <c r="AL3" s="300">
        <f>COUNTA(AL4:AL72)</f>
        <v>7</v>
      </c>
      <c r="AM3" s="300">
        <f>COUNTA(AM4:AM72)</f>
        <v>3</v>
      </c>
      <c r="AN3" s="300">
        <f>COUNTA(AN4:AN72)</f>
        <v>5</v>
      </c>
      <c r="AO3" s="300">
        <f>COUNTA(AO4:AO72)</f>
        <v>5</v>
      </c>
      <c r="AP3" s="300">
        <f>COUNTA(AP4:AP72)</f>
        <v>5</v>
      </c>
      <c r="AQ3" s="300">
        <f>COUNTA(AQ4:AQ72)</f>
        <v>6</v>
      </c>
      <c r="AR3" s="300">
        <f>COUNTA(AR4:AR72)</f>
        <v>6</v>
      </c>
      <c r="AS3" s="297"/>
      <c r="AT3" s="300">
        <f>COUNTA(AT4:AT72)</f>
        <v>10</v>
      </c>
      <c r="AU3" s="300">
        <f>COUNTA(AU4:AU72)</f>
        <v>14</v>
      </c>
      <c r="AV3" s="300">
        <f>COUNTA(AV4:AV72)</f>
        <v>11</v>
      </c>
      <c r="AW3" s="300">
        <f>COUNTA(AW4:AW72)</f>
        <v>10</v>
      </c>
      <c r="AX3" s="300">
        <f>COUNTA(AX4:AX72)</f>
        <v>15</v>
      </c>
      <c r="AY3" s="300">
        <f>COUNTA(AY4:AY72)</f>
        <v>21</v>
      </c>
    </row>
    <row r="4" spans="1:52" x14ac:dyDescent="0.25">
      <c r="A4" s="200">
        <f>'[1]Studia stacjonarne'!A11</f>
        <v>1</v>
      </c>
      <c r="B4" s="199" t="str">
        <f>'[1]Studia stacjonarne'!B11</f>
        <v>Język angielski</v>
      </c>
      <c r="C4" s="292">
        <f>COUNTA(D4:S4)</f>
        <v>0</v>
      </c>
      <c r="D4" s="272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4"/>
      <c r="T4" s="296">
        <f>COUNTA(U4:AR4)</f>
        <v>2</v>
      </c>
      <c r="U4" s="272" t="s">
        <v>345</v>
      </c>
      <c r="V4" s="273" t="s">
        <v>345</v>
      </c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4"/>
      <c r="AR4" s="274"/>
      <c r="AS4" s="296">
        <f>COUNTA(AT4:AY4)</f>
        <v>1</v>
      </c>
      <c r="AT4" s="272"/>
      <c r="AU4" s="273" t="s">
        <v>345</v>
      </c>
      <c r="AV4" s="273"/>
      <c r="AW4" s="273"/>
      <c r="AX4" s="273"/>
      <c r="AY4" s="275"/>
    </row>
    <row r="5" spans="1:52" ht="15" customHeight="1" x14ac:dyDescent="0.25">
      <c r="A5" s="5">
        <f>'[1]Studia stacjonarne'!A12</f>
        <v>2</v>
      </c>
      <c r="B5" s="4" t="str">
        <f>'[1]Studia stacjonarne'!B12</f>
        <v>Angielski zawodowy</v>
      </c>
      <c r="C5" s="292">
        <f t="shared" ref="C5:C10" si="0">COUNTA(D5:S5)</f>
        <v>0</v>
      </c>
      <c r="D5" s="276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8"/>
      <c r="T5" s="296">
        <f t="shared" ref="T5:T10" si="1">COUNTA(U5:AR5)</f>
        <v>2</v>
      </c>
      <c r="U5" s="276" t="s">
        <v>345</v>
      </c>
      <c r="V5" s="277" t="s">
        <v>345</v>
      </c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8"/>
      <c r="AR5" s="278"/>
      <c r="AS5" s="296">
        <f t="shared" ref="AS5:AS10" si="2">COUNTA(AT5:AY5)</f>
        <v>1</v>
      </c>
      <c r="AT5" s="276"/>
      <c r="AU5" s="277" t="s">
        <v>345</v>
      </c>
      <c r="AV5" s="277"/>
      <c r="AW5" s="277"/>
      <c r="AX5" s="277"/>
      <c r="AY5" s="279"/>
    </row>
    <row r="6" spans="1:52" x14ac:dyDescent="0.25">
      <c r="A6" s="5">
        <f>'[1]Studia stacjonarne'!A13</f>
        <v>3</v>
      </c>
      <c r="B6" s="4" t="str">
        <f>'[1]Studia stacjonarne'!B13</f>
        <v>Wychowanie fizyczne</v>
      </c>
      <c r="C6" s="292">
        <f t="shared" si="0"/>
        <v>0</v>
      </c>
      <c r="D6" s="276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8"/>
      <c r="T6" s="296">
        <f t="shared" si="1"/>
        <v>0</v>
      </c>
      <c r="U6" s="276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8"/>
      <c r="AR6" s="278"/>
      <c r="AS6" s="296">
        <f t="shared" si="2"/>
        <v>2</v>
      </c>
      <c r="AT6" s="276" t="s">
        <v>345</v>
      </c>
      <c r="AU6" s="277"/>
      <c r="AV6" s="277"/>
      <c r="AW6" s="277" t="s">
        <v>345</v>
      </c>
      <c r="AX6" s="277"/>
      <c r="AY6" s="279"/>
    </row>
    <row r="7" spans="1:52" x14ac:dyDescent="0.25">
      <c r="A7" s="5">
        <f>'[1]Studia stacjonarne'!A14</f>
        <v>4</v>
      </c>
      <c r="B7" s="4" t="str">
        <f>'[1]Studia stacjonarne'!B14</f>
        <v>Podstawy przedsiębiorczości</v>
      </c>
      <c r="C7" s="292">
        <f t="shared" si="0"/>
        <v>1</v>
      </c>
      <c r="D7" s="276" t="s">
        <v>345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8"/>
      <c r="T7" s="296">
        <f t="shared" si="1"/>
        <v>1</v>
      </c>
      <c r="U7" s="276"/>
      <c r="V7" s="277"/>
      <c r="W7" s="277" t="s">
        <v>345</v>
      </c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8"/>
      <c r="AR7" s="278"/>
      <c r="AS7" s="296">
        <f t="shared" si="2"/>
        <v>2</v>
      </c>
      <c r="AT7" s="276"/>
      <c r="AU7" s="277"/>
      <c r="AV7" s="277" t="s">
        <v>345</v>
      </c>
      <c r="AW7" s="277"/>
      <c r="AX7" s="277" t="s">
        <v>345</v>
      </c>
      <c r="AY7" s="279"/>
    </row>
    <row r="8" spans="1:52" x14ac:dyDescent="0.25">
      <c r="A8" s="5">
        <f>'[1]Studia stacjonarne'!A15</f>
        <v>5</v>
      </c>
      <c r="B8" s="4" t="str">
        <f>'[1]Studia stacjonarne'!B15</f>
        <v>Ochrona własności intelektualnej</v>
      </c>
      <c r="C8" s="292">
        <f t="shared" si="0"/>
        <v>2</v>
      </c>
      <c r="D8" s="276" t="s">
        <v>345</v>
      </c>
      <c r="E8" s="277"/>
      <c r="F8" s="277"/>
      <c r="G8" s="277"/>
      <c r="H8" s="277" t="s">
        <v>345</v>
      </c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8"/>
      <c r="T8" s="296">
        <f t="shared" si="1"/>
        <v>1</v>
      </c>
      <c r="U8" s="276"/>
      <c r="V8" s="277"/>
      <c r="W8" s="277" t="s">
        <v>345</v>
      </c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8"/>
      <c r="AR8" s="278"/>
      <c r="AS8" s="296">
        <f t="shared" si="2"/>
        <v>2</v>
      </c>
      <c r="AT8" s="276"/>
      <c r="AU8" s="277"/>
      <c r="AV8" s="277" t="s">
        <v>345</v>
      </c>
      <c r="AW8" s="277" t="s">
        <v>345</v>
      </c>
      <c r="AX8" s="277"/>
      <c r="AY8" s="279"/>
    </row>
    <row r="9" spans="1:52" x14ac:dyDescent="0.25">
      <c r="A9" s="5">
        <f>'[1]Studia stacjonarne'!A16</f>
        <v>6</v>
      </c>
      <c r="B9" s="4" t="str">
        <f>'[1]Studia stacjonarne'!B16</f>
        <v>Grupa zajęć do wyboru 1</v>
      </c>
      <c r="C9" s="292">
        <f t="shared" si="0"/>
        <v>1</v>
      </c>
      <c r="D9" s="276" t="s">
        <v>345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8"/>
      <c r="T9" s="296">
        <f t="shared" si="1"/>
        <v>0</v>
      </c>
      <c r="U9" s="276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8"/>
      <c r="AR9" s="278"/>
      <c r="AS9" s="296">
        <f t="shared" si="2"/>
        <v>2</v>
      </c>
      <c r="AT9" s="276" t="s">
        <v>345</v>
      </c>
      <c r="AU9" s="277"/>
      <c r="AV9" s="277"/>
      <c r="AW9" s="277" t="s">
        <v>345</v>
      </c>
      <c r="AX9" s="277"/>
      <c r="AY9" s="279"/>
    </row>
    <row r="10" spans="1:52" ht="15" customHeight="1" thickBot="1" x14ac:dyDescent="0.3">
      <c r="A10" s="21">
        <f>'[1]Studia stacjonarne'!A17</f>
        <v>7</v>
      </c>
      <c r="B10" s="23" t="str">
        <f>'[1]Studia stacjonarne'!B17</f>
        <v>Grupa zajęć do wyboru 2</v>
      </c>
      <c r="C10" s="292">
        <f t="shared" si="0"/>
        <v>1</v>
      </c>
      <c r="D10" s="280" t="s">
        <v>345</v>
      </c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2"/>
      <c r="T10" s="296">
        <f t="shared" si="1"/>
        <v>0</v>
      </c>
      <c r="U10" s="280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2"/>
      <c r="AR10" s="282"/>
      <c r="AS10" s="296">
        <f t="shared" si="2"/>
        <v>2</v>
      </c>
      <c r="AT10" s="280" t="s">
        <v>345</v>
      </c>
      <c r="AU10" s="281"/>
      <c r="AV10" s="281"/>
      <c r="AW10" s="281" t="s">
        <v>345</v>
      </c>
      <c r="AX10" s="281"/>
      <c r="AY10" s="283"/>
    </row>
    <row r="11" spans="1:52" ht="15.75" thickBot="1" x14ac:dyDescent="0.3">
      <c r="A11" s="204" t="str">
        <f>'[1]Studia stacjonarne'!A18</f>
        <v>II.</v>
      </c>
      <c r="B11" s="131" t="str">
        <f>'[1]Studia stacjonarne'!B18</f>
        <v>Moduł matematyczno-fizyczny</v>
      </c>
      <c r="C11" s="293"/>
      <c r="D11" s="202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3"/>
      <c r="T11" s="293"/>
      <c r="U11" s="204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3"/>
      <c r="AR11" s="131"/>
      <c r="AS11" s="293"/>
      <c r="AT11" s="202"/>
      <c r="AU11" s="201"/>
      <c r="AV11" s="201"/>
      <c r="AW11" s="201"/>
      <c r="AX11" s="201"/>
      <c r="AY11" s="131"/>
    </row>
    <row r="12" spans="1:52" x14ac:dyDescent="0.25">
      <c r="A12" s="200">
        <f>'[1]Studia stacjonarne'!A19</f>
        <v>1</v>
      </c>
      <c r="B12" s="199" t="str">
        <f>'[1]Studia stacjonarne'!B19</f>
        <v>Matematyka</v>
      </c>
      <c r="C12" s="292">
        <f t="shared" ref="C12:C20" si="3">COUNTA(D12:S12)</f>
        <v>1</v>
      </c>
      <c r="D12" s="272"/>
      <c r="E12" s="273" t="s">
        <v>345</v>
      </c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4"/>
      <c r="T12" s="296">
        <f t="shared" ref="T12:T20" si="4">COUNTA(U12:AR12)</f>
        <v>1</v>
      </c>
      <c r="U12" s="272"/>
      <c r="V12" s="273"/>
      <c r="W12" s="273"/>
      <c r="X12" s="273" t="s">
        <v>345</v>
      </c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4"/>
      <c r="AR12" s="274"/>
      <c r="AS12" s="296">
        <f t="shared" ref="AS12:AS20" si="5">COUNTA(AT12:AY12)</f>
        <v>1</v>
      </c>
      <c r="AT12" s="272" t="s">
        <v>345</v>
      </c>
      <c r="AU12" s="273"/>
      <c r="AV12" s="273"/>
      <c r="AW12" s="273"/>
      <c r="AX12" s="273"/>
      <c r="AY12" s="275"/>
    </row>
    <row r="13" spans="1:52" x14ac:dyDescent="0.25">
      <c r="A13" s="5">
        <f>'[1]Studia stacjonarne'!A20</f>
        <v>2</v>
      </c>
      <c r="B13" s="4" t="str">
        <f>'[1]Studia stacjonarne'!B20</f>
        <v>Matematyka dyskretna</v>
      </c>
      <c r="C13" s="292">
        <f t="shared" si="3"/>
        <v>1</v>
      </c>
      <c r="D13" s="276"/>
      <c r="E13" s="277" t="s">
        <v>345</v>
      </c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8"/>
      <c r="T13" s="296">
        <f t="shared" si="4"/>
        <v>1</v>
      </c>
      <c r="U13" s="276"/>
      <c r="V13" s="277"/>
      <c r="W13" s="277"/>
      <c r="X13" s="277" t="s">
        <v>345</v>
      </c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8"/>
      <c r="AR13" s="278"/>
      <c r="AS13" s="296">
        <f t="shared" si="5"/>
        <v>1</v>
      </c>
      <c r="AT13" s="276" t="s">
        <v>345</v>
      </c>
      <c r="AU13" s="277"/>
      <c r="AV13" s="277"/>
      <c r="AW13" s="277"/>
      <c r="AX13" s="277"/>
      <c r="AY13" s="279"/>
    </row>
    <row r="14" spans="1:52" x14ac:dyDescent="0.25">
      <c r="A14" s="5">
        <f>'[1]Studia stacjonarne'!A21</f>
        <v>3</v>
      </c>
      <c r="B14" s="4" t="str">
        <f>'[1]Studia stacjonarne'!B21</f>
        <v>Probabilistyka i statystyka</v>
      </c>
      <c r="C14" s="292">
        <f t="shared" si="3"/>
        <v>1</v>
      </c>
      <c r="D14" s="276"/>
      <c r="E14" s="277" t="s">
        <v>345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8"/>
      <c r="T14" s="296">
        <f t="shared" si="4"/>
        <v>1</v>
      </c>
      <c r="U14" s="276"/>
      <c r="V14" s="277"/>
      <c r="W14" s="277"/>
      <c r="X14" s="277" t="s">
        <v>345</v>
      </c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8"/>
      <c r="AR14" s="278"/>
      <c r="AS14" s="296">
        <f t="shared" si="5"/>
        <v>1</v>
      </c>
      <c r="AT14" s="276" t="s">
        <v>345</v>
      </c>
      <c r="AU14" s="277"/>
      <c r="AV14" s="277"/>
      <c r="AW14" s="277"/>
      <c r="AX14" s="277"/>
      <c r="AY14" s="279"/>
    </row>
    <row r="15" spans="1:52" x14ac:dyDescent="0.25">
      <c r="A15" s="5">
        <f>'[1]Studia stacjonarne'!A22</f>
        <v>4</v>
      </c>
      <c r="B15" s="4" t="str">
        <f>'[1]Studia stacjonarne'!B22</f>
        <v>Metody numeryczne</v>
      </c>
      <c r="C15" s="292">
        <f t="shared" si="3"/>
        <v>1</v>
      </c>
      <c r="D15" s="276"/>
      <c r="E15" s="277" t="s">
        <v>345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8"/>
      <c r="T15" s="296">
        <f t="shared" si="4"/>
        <v>1</v>
      </c>
      <c r="U15" s="276"/>
      <c r="V15" s="277"/>
      <c r="W15" s="277"/>
      <c r="X15" s="277" t="s">
        <v>345</v>
      </c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8"/>
      <c r="AR15" s="278"/>
      <c r="AS15" s="296">
        <f t="shared" si="5"/>
        <v>1</v>
      </c>
      <c r="AT15" s="276" t="s">
        <v>345</v>
      </c>
      <c r="AU15" s="277"/>
      <c r="AV15" s="277"/>
      <c r="AW15" s="277"/>
      <c r="AX15" s="277"/>
      <c r="AY15" s="279"/>
    </row>
    <row r="16" spans="1:52" x14ac:dyDescent="0.25">
      <c r="A16" s="5">
        <f>'[1]Studia stacjonarne'!A23</f>
        <v>5</v>
      </c>
      <c r="B16" s="4" t="str">
        <f>'[1]Studia stacjonarne'!B23</f>
        <v>Fizyka</v>
      </c>
      <c r="C16" s="292">
        <f t="shared" si="3"/>
        <v>1</v>
      </c>
      <c r="D16" s="276"/>
      <c r="E16" s="277"/>
      <c r="F16" s="277" t="s">
        <v>345</v>
      </c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8"/>
      <c r="T16" s="296">
        <f t="shared" si="4"/>
        <v>1</v>
      </c>
      <c r="U16" s="276"/>
      <c r="V16" s="277"/>
      <c r="W16" s="277"/>
      <c r="X16" s="277"/>
      <c r="Y16" s="277" t="s">
        <v>345</v>
      </c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8"/>
      <c r="AR16" s="278"/>
      <c r="AS16" s="296">
        <f t="shared" si="5"/>
        <v>1</v>
      </c>
      <c r="AT16" s="276" t="s">
        <v>345</v>
      </c>
      <c r="AU16" s="277"/>
      <c r="AV16" s="277"/>
      <c r="AW16" s="277"/>
      <c r="AX16" s="277"/>
      <c r="AY16" s="279"/>
    </row>
    <row r="17" spans="1:51" x14ac:dyDescent="0.25">
      <c r="A17" s="5">
        <f>'[1]Studia stacjonarne'!A24</f>
        <v>6</v>
      </c>
      <c r="B17" s="4" t="str">
        <f>'[1]Studia stacjonarne'!B24</f>
        <v>Podstawy elektrotechniki</v>
      </c>
      <c r="C17" s="292">
        <f t="shared" si="3"/>
        <v>2</v>
      </c>
      <c r="D17" s="276"/>
      <c r="E17" s="277"/>
      <c r="F17" s="277" t="s">
        <v>345</v>
      </c>
      <c r="G17" s="277" t="s">
        <v>345</v>
      </c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8"/>
      <c r="T17" s="296">
        <f t="shared" si="4"/>
        <v>2</v>
      </c>
      <c r="U17" s="276"/>
      <c r="V17" s="277"/>
      <c r="W17" s="277"/>
      <c r="X17" s="277"/>
      <c r="Y17" s="277" t="s">
        <v>345</v>
      </c>
      <c r="Z17" s="277" t="s">
        <v>345</v>
      </c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8"/>
      <c r="AR17" s="278"/>
      <c r="AS17" s="296">
        <f t="shared" si="5"/>
        <v>1</v>
      </c>
      <c r="AT17" s="276"/>
      <c r="AU17" s="277" t="s">
        <v>345</v>
      </c>
      <c r="AV17" s="277"/>
      <c r="AW17" s="277"/>
      <c r="AX17" s="277"/>
      <c r="AY17" s="279"/>
    </row>
    <row r="18" spans="1:51" x14ac:dyDescent="0.25">
      <c r="A18" s="5">
        <f>'[1]Studia stacjonarne'!A25</f>
        <v>7</v>
      </c>
      <c r="B18" s="4" t="str">
        <f>'[1]Studia stacjonarne'!B25</f>
        <v>Podstawy elektroniki</v>
      </c>
      <c r="C18" s="292">
        <f t="shared" si="3"/>
        <v>2</v>
      </c>
      <c r="D18" s="276"/>
      <c r="E18" s="277"/>
      <c r="F18" s="277" t="s">
        <v>345</v>
      </c>
      <c r="G18" s="277" t="s">
        <v>345</v>
      </c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8"/>
      <c r="T18" s="296">
        <f t="shared" si="4"/>
        <v>2</v>
      </c>
      <c r="U18" s="276"/>
      <c r="V18" s="277"/>
      <c r="W18" s="277"/>
      <c r="X18" s="277"/>
      <c r="Y18" s="277" t="s">
        <v>345</v>
      </c>
      <c r="Z18" s="277" t="s">
        <v>345</v>
      </c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8"/>
      <c r="AR18" s="278"/>
      <c r="AS18" s="296">
        <f t="shared" si="5"/>
        <v>1</v>
      </c>
      <c r="AT18" s="276"/>
      <c r="AU18" s="277" t="s">
        <v>345</v>
      </c>
      <c r="AV18" s="277"/>
      <c r="AW18" s="277"/>
      <c r="AX18" s="277"/>
      <c r="AY18" s="279"/>
    </row>
    <row r="19" spans="1:51" x14ac:dyDescent="0.25">
      <c r="A19" s="5">
        <f>'[1]Studia stacjonarne'!A26</f>
        <v>8</v>
      </c>
      <c r="B19" s="4" t="str">
        <f>'[1]Studia stacjonarne'!B26</f>
        <v>Podstawy automatyki</v>
      </c>
      <c r="C19" s="292">
        <f t="shared" si="3"/>
        <v>1</v>
      </c>
      <c r="D19" s="276"/>
      <c r="E19" s="277"/>
      <c r="F19" s="277"/>
      <c r="G19" s="277" t="s">
        <v>345</v>
      </c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8"/>
      <c r="T19" s="296">
        <f t="shared" si="4"/>
        <v>2</v>
      </c>
      <c r="U19" s="276"/>
      <c r="V19" s="277"/>
      <c r="W19" s="277"/>
      <c r="X19" s="277"/>
      <c r="Y19" s="277" t="s">
        <v>345</v>
      </c>
      <c r="Z19" s="277" t="s">
        <v>345</v>
      </c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8"/>
      <c r="AR19" s="278"/>
      <c r="AS19" s="296">
        <f t="shared" si="5"/>
        <v>1</v>
      </c>
      <c r="AT19" s="276"/>
      <c r="AU19" s="277" t="s">
        <v>345</v>
      </c>
      <c r="AV19" s="277"/>
      <c r="AW19" s="277"/>
      <c r="AX19" s="277"/>
      <c r="AY19" s="279"/>
    </row>
    <row r="20" spans="1:51" ht="15.75" thickBot="1" x14ac:dyDescent="0.3">
      <c r="A20" s="21">
        <f>'[1]Studia stacjonarne'!A27</f>
        <v>9</v>
      </c>
      <c r="B20" s="23" t="str">
        <f>'[1]Studia stacjonarne'!B27</f>
        <v>Układy cyfrowe</v>
      </c>
      <c r="C20" s="292">
        <f t="shared" si="3"/>
        <v>2</v>
      </c>
      <c r="D20" s="280"/>
      <c r="E20" s="281"/>
      <c r="F20" s="281" t="s">
        <v>345</v>
      </c>
      <c r="G20" s="281" t="s">
        <v>345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2"/>
      <c r="T20" s="296">
        <f t="shared" si="4"/>
        <v>2</v>
      </c>
      <c r="U20" s="280"/>
      <c r="V20" s="281"/>
      <c r="W20" s="281"/>
      <c r="X20" s="281"/>
      <c r="Y20" s="281" t="s">
        <v>345</v>
      </c>
      <c r="Z20" s="281" t="s">
        <v>345</v>
      </c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2"/>
      <c r="AR20" s="282"/>
      <c r="AS20" s="296">
        <f t="shared" si="5"/>
        <v>1</v>
      </c>
      <c r="AT20" s="280"/>
      <c r="AU20" s="281" t="s">
        <v>345</v>
      </c>
      <c r="AV20" s="281"/>
      <c r="AW20" s="281"/>
      <c r="AX20" s="281"/>
      <c r="AY20" s="283"/>
    </row>
    <row r="21" spans="1:51" ht="15.75" thickBot="1" x14ac:dyDescent="0.3">
      <c r="A21" s="204" t="str">
        <f>'[1]Studia stacjonarne'!A28</f>
        <v>III.</v>
      </c>
      <c r="B21" s="131" t="str">
        <f>'[1]Studia stacjonarne'!B28</f>
        <v>Moduł kierunkowy</v>
      </c>
      <c r="C21" s="293"/>
      <c r="D21" s="202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3"/>
      <c r="T21" s="293"/>
      <c r="U21" s="204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3"/>
      <c r="AR21" s="131"/>
      <c r="AS21" s="293"/>
      <c r="AT21" s="202"/>
      <c r="AU21" s="201"/>
      <c r="AV21" s="201"/>
      <c r="AW21" s="201"/>
      <c r="AX21" s="201"/>
      <c r="AY21" s="131"/>
    </row>
    <row r="22" spans="1:51" x14ac:dyDescent="0.25">
      <c r="A22" s="200">
        <f>'[1]Studia stacjonarne'!A29</f>
        <v>1</v>
      </c>
      <c r="B22" s="199" t="str">
        <f>'[1]Studia stacjonarne'!B29</f>
        <v>Podstawy informatyki</v>
      </c>
      <c r="C22" s="292">
        <f t="shared" ref="C22:C41" si="6">COUNTA(D22:S22)</f>
        <v>2</v>
      </c>
      <c r="D22" s="272"/>
      <c r="E22" s="273"/>
      <c r="F22" s="273"/>
      <c r="G22" s="273"/>
      <c r="H22" s="273" t="s">
        <v>345</v>
      </c>
      <c r="I22" s="273" t="s">
        <v>345</v>
      </c>
      <c r="J22" s="273"/>
      <c r="K22" s="273"/>
      <c r="L22" s="273"/>
      <c r="M22" s="273"/>
      <c r="N22" s="273"/>
      <c r="O22" s="273"/>
      <c r="P22" s="273"/>
      <c r="Q22" s="273"/>
      <c r="R22" s="273"/>
      <c r="S22" s="274"/>
      <c r="T22" s="296">
        <f t="shared" ref="T22:T41" si="7">COUNTA(U22:AR22)</f>
        <v>1</v>
      </c>
      <c r="U22" s="272"/>
      <c r="V22" s="273"/>
      <c r="W22" s="273"/>
      <c r="X22" s="273"/>
      <c r="Y22" s="273"/>
      <c r="Z22" s="273"/>
      <c r="AA22" s="273"/>
      <c r="AB22" s="273"/>
      <c r="AC22" s="273" t="s">
        <v>345</v>
      </c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4"/>
      <c r="AR22" s="274"/>
      <c r="AS22" s="296">
        <f t="shared" ref="AS22:AS41" si="8">COUNTA(AT22:AY22)</f>
        <v>2</v>
      </c>
      <c r="AT22" s="272" t="s">
        <v>345</v>
      </c>
      <c r="AU22" s="273"/>
      <c r="AV22" s="273" t="s">
        <v>345</v>
      </c>
      <c r="AW22" s="273"/>
      <c r="AX22" s="273"/>
      <c r="AY22" s="275"/>
    </row>
    <row r="23" spans="1:51" x14ac:dyDescent="0.25">
      <c r="A23" s="5">
        <f>'[1]Studia stacjonarne'!A30</f>
        <v>2</v>
      </c>
      <c r="B23" s="4" t="str">
        <f>'[1]Studia stacjonarne'!B30</f>
        <v>Grafika komputerowa</v>
      </c>
      <c r="C23" s="292">
        <f t="shared" si="6"/>
        <v>1</v>
      </c>
      <c r="D23" s="276"/>
      <c r="E23" s="277"/>
      <c r="F23" s="277"/>
      <c r="G23" s="277"/>
      <c r="H23" s="277"/>
      <c r="I23" s="277" t="s">
        <v>345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8"/>
      <c r="T23" s="296">
        <f t="shared" si="7"/>
        <v>1</v>
      </c>
      <c r="U23" s="276"/>
      <c r="V23" s="277"/>
      <c r="W23" s="277"/>
      <c r="X23" s="277"/>
      <c r="Y23" s="277"/>
      <c r="Z23" s="277"/>
      <c r="AA23" s="277"/>
      <c r="AB23" s="277" t="s">
        <v>345</v>
      </c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8"/>
      <c r="AR23" s="278"/>
      <c r="AS23" s="296">
        <f t="shared" si="8"/>
        <v>1</v>
      </c>
      <c r="AT23" s="276"/>
      <c r="AU23" s="277" t="s">
        <v>345</v>
      </c>
      <c r="AV23" s="277"/>
      <c r="AW23" s="277"/>
      <c r="AX23" s="277"/>
      <c r="AY23" s="279"/>
    </row>
    <row r="24" spans="1:51" x14ac:dyDescent="0.25">
      <c r="A24" s="5">
        <f>'[1]Studia stacjonarne'!A31</f>
        <v>3</v>
      </c>
      <c r="B24" s="4" t="str">
        <f>'[1]Studia stacjonarne'!B31</f>
        <v>Podstawy programowania</v>
      </c>
      <c r="C24" s="292">
        <f t="shared" si="6"/>
        <v>3</v>
      </c>
      <c r="D24" s="276"/>
      <c r="E24" s="277"/>
      <c r="F24" s="277"/>
      <c r="G24" s="277"/>
      <c r="H24" s="277"/>
      <c r="I24" s="277"/>
      <c r="J24" s="277"/>
      <c r="K24" s="277"/>
      <c r="L24" s="277" t="s">
        <v>345</v>
      </c>
      <c r="M24" s="277" t="s">
        <v>345</v>
      </c>
      <c r="N24" s="277" t="s">
        <v>345</v>
      </c>
      <c r="O24" s="277"/>
      <c r="P24" s="277"/>
      <c r="Q24" s="277"/>
      <c r="R24" s="277"/>
      <c r="S24" s="278"/>
      <c r="T24" s="296">
        <f t="shared" si="7"/>
        <v>4</v>
      </c>
      <c r="U24" s="276"/>
      <c r="V24" s="277"/>
      <c r="W24" s="277"/>
      <c r="X24" s="277"/>
      <c r="Y24" s="277"/>
      <c r="Z24" s="277"/>
      <c r="AA24" s="277"/>
      <c r="AB24" s="277" t="s">
        <v>345</v>
      </c>
      <c r="AC24" s="277" t="s">
        <v>345</v>
      </c>
      <c r="AD24" s="277"/>
      <c r="AE24" s="277"/>
      <c r="AF24" s="277" t="s">
        <v>345</v>
      </c>
      <c r="AG24" s="277"/>
      <c r="AH24" s="277"/>
      <c r="AI24" s="277" t="s">
        <v>345</v>
      </c>
      <c r="AJ24" s="277"/>
      <c r="AK24" s="277"/>
      <c r="AL24" s="277"/>
      <c r="AM24" s="277"/>
      <c r="AN24" s="277"/>
      <c r="AO24" s="277"/>
      <c r="AP24" s="277"/>
      <c r="AQ24" s="278"/>
      <c r="AR24" s="278"/>
      <c r="AS24" s="296">
        <f t="shared" si="8"/>
        <v>1</v>
      </c>
      <c r="AT24" s="276"/>
      <c r="AU24" s="277"/>
      <c r="AV24" s="277"/>
      <c r="AW24" s="277"/>
      <c r="AX24" s="277" t="s">
        <v>345</v>
      </c>
      <c r="AY24" s="279"/>
    </row>
    <row r="25" spans="1:51" x14ac:dyDescent="0.25">
      <c r="A25" s="5">
        <f>'[1]Studia stacjonarne'!A32</f>
        <v>4</v>
      </c>
      <c r="B25" s="4" t="str">
        <f>'[1]Studia stacjonarne'!B32</f>
        <v>Programowanie obiektowe</v>
      </c>
      <c r="C25" s="292">
        <f t="shared" si="6"/>
        <v>3</v>
      </c>
      <c r="D25" s="276"/>
      <c r="E25" s="277"/>
      <c r="F25" s="277"/>
      <c r="G25" s="277"/>
      <c r="H25" s="277"/>
      <c r="I25" s="277"/>
      <c r="J25" s="277"/>
      <c r="K25" s="277"/>
      <c r="L25" s="277" t="s">
        <v>345</v>
      </c>
      <c r="M25" s="277" t="s">
        <v>345</v>
      </c>
      <c r="N25" s="277" t="s">
        <v>345</v>
      </c>
      <c r="O25" s="277"/>
      <c r="P25" s="277"/>
      <c r="Q25" s="277"/>
      <c r="R25" s="277"/>
      <c r="S25" s="278"/>
      <c r="T25" s="296">
        <f t="shared" si="7"/>
        <v>5</v>
      </c>
      <c r="U25" s="276"/>
      <c r="V25" s="277"/>
      <c r="W25" s="277"/>
      <c r="X25" s="277"/>
      <c r="Y25" s="277"/>
      <c r="Z25" s="277"/>
      <c r="AA25" s="277"/>
      <c r="AB25" s="277" t="s">
        <v>345</v>
      </c>
      <c r="AC25" s="277"/>
      <c r="AD25" s="277" t="s">
        <v>345</v>
      </c>
      <c r="AE25" s="277"/>
      <c r="AF25" s="277" t="s">
        <v>345</v>
      </c>
      <c r="AG25" s="277"/>
      <c r="AH25" s="277"/>
      <c r="AI25" s="277" t="s">
        <v>345</v>
      </c>
      <c r="AJ25" s="277" t="s">
        <v>345</v>
      </c>
      <c r="AK25" s="277"/>
      <c r="AL25" s="277"/>
      <c r="AM25" s="277"/>
      <c r="AN25" s="277"/>
      <c r="AO25" s="277"/>
      <c r="AP25" s="277"/>
      <c r="AQ25" s="278"/>
      <c r="AR25" s="278"/>
      <c r="AS25" s="296">
        <f t="shared" si="8"/>
        <v>1</v>
      </c>
      <c r="AT25" s="276"/>
      <c r="AU25" s="277"/>
      <c r="AV25" s="277"/>
      <c r="AW25" s="277"/>
      <c r="AX25" s="277" t="s">
        <v>345</v>
      </c>
      <c r="AY25" s="279"/>
    </row>
    <row r="26" spans="1:51" x14ac:dyDescent="0.25">
      <c r="A26" s="5">
        <f>'[1]Studia stacjonarne'!A33</f>
        <v>5</v>
      </c>
      <c r="B26" s="4" t="str">
        <f>'[1]Studia stacjonarne'!B33</f>
        <v>Metody podejmowania decyzji</v>
      </c>
      <c r="C26" s="292">
        <f t="shared" si="6"/>
        <v>4</v>
      </c>
      <c r="D26" s="276"/>
      <c r="E26" s="277" t="s">
        <v>345</v>
      </c>
      <c r="F26" s="277"/>
      <c r="G26" s="277"/>
      <c r="H26" s="277"/>
      <c r="I26" s="277"/>
      <c r="J26" s="277"/>
      <c r="K26" s="277"/>
      <c r="L26" s="277"/>
      <c r="M26" s="277" t="s">
        <v>345</v>
      </c>
      <c r="N26" s="277" t="s">
        <v>345</v>
      </c>
      <c r="O26" s="277"/>
      <c r="P26" s="277" t="s">
        <v>345</v>
      </c>
      <c r="Q26" s="277"/>
      <c r="R26" s="277"/>
      <c r="S26" s="278"/>
      <c r="T26" s="296">
        <f t="shared" si="7"/>
        <v>6</v>
      </c>
      <c r="U26" s="276"/>
      <c r="V26" s="277" t="s">
        <v>345</v>
      </c>
      <c r="W26" s="277"/>
      <c r="X26" s="277" t="s">
        <v>345</v>
      </c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 t="s">
        <v>345</v>
      </c>
      <c r="AJ26" s="277" t="s">
        <v>345</v>
      </c>
      <c r="AK26" s="277"/>
      <c r="AL26" s="277"/>
      <c r="AM26" s="277"/>
      <c r="AN26" s="277" t="s">
        <v>345</v>
      </c>
      <c r="AO26" s="277"/>
      <c r="AP26" s="277" t="s">
        <v>345</v>
      </c>
      <c r="AQ26" s="278"/>
      <c r="AR26" s="278"/>
      <c r="AS26" s="296">
        <f t="shared" si="8"/>
        <v>1</v>
      </c>
      <c r="AT26" s="276"/>
      <c r="AU26" s="277" t="s">
        <v>345</v>
      </c>
      <c r="AV26" s="277"/>
      <c r="AW26" s="277"/>
      <c r="AX26" s="277"/>
      <c r="AY26" s="279"/>
    </row>
    <row r="27" spans="1:51" x14ac:dyDescent="0.25">
      <c r="A27" s="5">
        <f>'[1]Studia stacjonarne'!A34</f>
        <v>6</v>
      </c>
      <c r="B27" s="4" t="str">
        <f>'[1]Studia stacjonarne'!B34</f>
        <v>Inżynieria oprogramowania</v>
      </c>
      <c r="C27" s="292">
        <f t="shared" si="6"/>
        <v>1</v>
      </c>
      <c r="D27" s="276"/>
      <c r="E27" s="277"/>
      <c r="F27" s="277"/>
      <c r="G27" s="277"/>
      <c r="H27" s="277"/>
      <c r="I27" s="277"/>
      <c r="J27" s="277"/>
      <c r="K27" s="277"/>
      <c r="L27" s="277" t="s">
        <v>345</v>
      </c>
      <c r="M27" s="277"/>
      <c r="N27" s="277"/>
      <c r="O27" s="277"/>
      <c r="P27" s="277"/>
      <c r="Q27" s="277"/>
      <c r="R27" s="277"/>
      <c r="S27" s="278"/>
      <c r="T27" s="296">
        <f t="shared" si="7"/>
        <v>3</v>
      </c>
      <c r="U27" s="276"/>
      <c r="V27" s="277"/>
      <c r="W27" s="277"/>
      <c r="X27" s="277"/>
      <c r="Y27" s="277"/>
      <c r="Z27" s="277"/>
      <c r="AA27" s="277"/>
      <c r="AB27" s="277"/>
      <c r="AC27" s="277"/>
      <c r="AD27" s="277" t="s">
        <v>345</v>
      </c>
      <c r="AE27" s="277"/>
      <c r="AF27" s="277" t="s">
        <v>345</v>
      </c>
      <c r="AG27" s="277"/>
      <c r="AH27" s="277"/>
      <c r="AI27" s="277"/>
      <c r="AJ27" s="277"/>
      <c r="AK27" s="277"/>
      <c r="AL27" s="277"/>
      <c r="AM27" s="277"/>
      <c r="AN27" s="277"/>
      <c r="AO27" s="277"/>
      <c r="AP27" s="277" t="s">
        <v>345</v>
      </c>
      <c r="AQ27" s="278"/>
      <c r="AR27" s="278"/>
      <c r="AS27" s="296">
        <f t="shared" si="8"/>
        <v>3</v>
      </c>
      <c r="AT27" s="276"/>
      <c r="AU27" s="277" t="s">
        <v>345</v>
      </c>
      <c r="AV27" s="277"/>
      <c r="AW27" s="277"/>
      <c r="AX27" s="277" t="s">
        <v>345</v>
      </c>
      <c r="AY27" s="279" t="s">
        <v>345</v>
      </c>
    </row>
    <row r="28" spans="1:51" x14ac:dyDescent="0.25">
      <c r="A28" s="5">
        <f>'[1]Studia stacjonarne'!A35</f>
        <v>7</v>
      </c>
      <c r="B28" s="4" t="str">
        <f>'[1]Studia stacjonarne'!B35</f>
        <v>Zarządzanie projektami informatycznymi</v>
      </c>
      <c r="C28" s="292">
        <f t="shared" si="6"/>
        <v>2</v>
      </c>
      <c r="D28" s="276"/>
      <c r="E28" s="277"/>
      <c r="F28" s="277"/>
      <c r="G28" s="277"/>
      <c r="H28" s="277"/>
      <c r="I28" s="277"/>
      <c r="J28" s="277"/>
      <c r="K28" s="277"/>
      <c r="L28" s="277" t="s">
        <v>345</v>
      </c>
      <c r="M28" s="277"/>
      <c r="N28" s="277"/>
      <c r="O28" s="277"/>
      <c r="P28" s="277"/>
      <c r="Q28" s="277" t="s">
        <v>345</v>
      </c>
      <c r="R28" s="277"/>
      <c r="S28" s="278"/>
      <c r="T28" s="296">
        <f t="shared" si="7"/>
        <v>4</v>
      </c>
      <c r="U28" s="276"/>
      <c r="V28" s="277" t="s">
        <v>345</v>
      </c>
      <c r="W28" s="277"/>
      <c r="X28" s="277"/>
      <c r="Y28" s="277"/>
      <c r="Z28" s="277"/>
      <c r="AA28" s="277"/>
      <c r="AB28" s="277"/>
      <c r="AC28" s="277"/>
      <c r="AD28" s="277" t="s">
        <v>345</v>
      </c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8" t="s">
        <v>345</v>
      </c>
      <c r="AR28" s="278" t="s">
        <v>345</v>
      </c>
      <c r="AS28" s="296">
        <f t="shared" si="8"/>
        <v>3</v>
      </c>
      <c r="AT28" s="276"/>
      <c r="AU28" s="277"/>
      <c r="AV28" s="277"/>
      <c r="AW28" s="277" t="s">
        <v>345</v>
      </c>
      <c r="AX28" s="277" t="s">
        <v>345</v>
      </c>
      <c r="AY28" s="279" t="s">
        <v>345</v>
      </c>
    </row>
    <row r="29" spans="1:51" x14ac:dyDescent="0.25">
      <c r="A29" s="5">
        <f>'[1]Studia stacjonarne'!A36</f>
        <v>8</v>
      </c>
      <c r="B29" s="4" t="str">
        <f>'[1]Studia stacjonarne'!B36</f>
        <v>Algorytmy i struktury danych</v>
      </c>
      <c r="C29" s="292">
        <f t="shared" si="6"/>
        <v>3</v>
      </c>
      <c r="D29" s="276"/>
      <c r="E29" s="277"/>
      <c r="F29" s="277"/>
      <c r="G29" s="277"/>
      <c r="H29" s="277"/>
      <c r="I29" s="277"/>
      <c r="J29" s="277"/>
      <c r="K29" s="277"/>
      <c r="L29" s="277" t="s">
        <v>345</v>
      </c>
      <c r="M29" s="277"/>
      <c r="N29" s="277" t="s">
        <v>345</v>
      </c>
      <c r="O29" s="277"/>
      <c r="P29" s="277"/>
      <c r="Q29" s="277"/>
      <c r="R29" s="277" t="s">
        <v>345</v>
      </c>
      <c r="S29" s="278"/>
      <c r="T29" s="296">
        <f t="shared" si="7"/>
        <v>4</v>
      </c>
      <c r="U29" s="276"/>
      <c r="V29" s="277"/>
      <c r="W29" s="277"/>
      <c r="X29" s="277" t="s">
        <v>345</v>
      </c>
      <c r="Y29" s="277"/>
      <c r="Z29" s="277"/>
      <c r="AA29" s="277" t="s">
        <v>345</v>
      </c>
      <c r="AB29" s="277"/>
      <c r="AC29" s="277" t="s">
        <v>345</v>
      </c>
      <c r="AD29" s="277"/>
      <c r="AE29" s="277"/>
      <c r="AF29" s="277"/>
      <c r="AG29" s="277"/>
      <c r="AH29" s="277"/>
      <c r="AI29" s="277"/>
      <c r="AJ29" s="277" t="s">
        <v>345</v>
      </c>
      <c r="AK29" s="277"/>
      <c r="AL29" s="277"/>
      <c r="AM29" s="277"/>
      <c r="AN29" s="277"/>
      <c r="AO29" s="277"/>
      <c r="AP29" s="277"/>
      <c r="AQ29" s="278"/>
      <c r="AR29" s="278"/>
      <c r="AS29" s="296">
        <f t="shared" si="8"/>
        <v>1</v>
      </c>
      <c r="AT29" s="276"/>
      <c r="AU29" s="277"/>
      <c r="AV29" s="277"/>
      <c r="AW29" s="277"/>
      <c r="AX29" s="277" t="s">
        <v>345</v>
      </c>
      <c r="AY29" s="279"/>
    </row>
    <row r="30" spans="1:51" x14ac:dyDescent="0.25">
      <c r="A30" s="5">
        <f>'[1]Studia stacjonarne'!A37</f>
        <v>9</v>
      </c>
      <c r="B30" s="4" t="str">
        <f>'[1]Studia stacjonarne'!B37</f>
        <v>Architektura systemów komputerowych</v>
      </c>
      <c r="C30" s="292">
        <f t="shared" si="6"/>
        <v>2</v>
      </c>
      <c r="D30" s="276"/>
      <c r="E30" s="277"/>
      <c r="F30" s="277"/>
      <c r="G30" s="277" t="s">
        <v>345</v>
      </c>
      <c r="H30" s="277"/>
      <c r="I30" s="277"/>
      <c r="J30" s="277" t="s">
        <v>345</v>
      </c>
      <c r="K30" s="277"/>
      <c r="L30" s="277"/>
      <c r="M30" s="277"/>
      <c r="N30" s="277"/>
      <c r="O30" s="277"/>
      <c r="P30" s="277"/>
      <c r="Q30" s="277"/>
      <c r="R30" s="277"/>
      <c r="S30" s="278"/>
      <c r="T30" s="296">
        <f t="shared" si="7"/>
        <v>5</v>
      </c>
      <c r="U30" s="276"/>
      <c r="V30" s="277" t="s">
        <v>345</v>
      </c>
      <c r="W30" s="277"/>
      <c r="X30" s="277"/>
      <c r="Y30" s="277"/>
      <c r="Z30" s="277" t="s">
        <v>345</v>
      </c>
      <c r="AA30" s="277"/>
      <c r="AB30" s="277"/>
      <c r="AC30" s="277" t="s">
        <v>345</v>
      </c>
      <c r="AD30" s="277"/>
      <c r="AE30" s="277" t="s">
        <v>345</v>
      </c>
      <c r="AF30" s="277"/>
      <c r="AG30" s="277"/>
      <c r="AH30" s="277" t="s">
        <v>345</v>
      </c>
      <c r="AI30" s="277"/>
      <c r="AJ30" s="277"/>
      <c r="AK30" s="277"/>
      <c r="AL30" s="277"/>
      <c r="AM30" s="277"/>
      <c r="AN30" s="277"/>
      <c r="AO30" s="277"/>
      <c r="AP30" s="277"/>
      <c r="AQ30" s="278"/>
      <c r="AR30" s="278"/>
      <c r="AS30" s="296">
        <f t="shared" si="8"/>
        <v>1</v>
      </c>
      <c r="AT30" s="276"/>
      <c r="AU30" s="277"/>
      <c r="AV30" s="277"/>
      <c r="AW30" s="277"/>
      <c r="AX30" s="277"/>
      <c r="AY30" s="279" t="s">
        <v>345</v>
      </c>
    </row>
    <row r="31" spans="1:51" x14ac:dyDescent="0.25">
      <c r="A31" s="5">
        <f>'[1]Studia stacjonarne'!A38</f>
        <v>10</v>
      </c>
      <c r="B31" s="4" t="str">
        <f>'[1]Studia stacjonarne'!B38</f>
        <v>Systemy operacyjne</v>
      </c>
      <c r="C31" s="292">
        <f t="shared" si="6"/>
        <v>5</v>
      </c>
      <c r="D31" s="276"/>
      <c r="E31" s="277"/>
      <c r="F31" s="277"/>
      <c r="G31" s="277"/>
      <c r="H31" s="277" t="s">
        <v>345</v>
      </c>
      <c r="I31" s="277" t="s">
        <v>345</v>
      </c>
      <c r="J31" s="277" t="s">
        <v>345</v>
      </c>
      <c r="K31" s="277"/>
      <c r="L31" s="277"/>
      <c r="M31" s="277"/>
      <c r="N31" s="277"/>
      <c r="O31" s="277" t="s">
        <v>345</v>
      </c>
      <c r="P31" s="277"/>
      <c r="Q31" s="277"/>
      <c r="R31" s="277"/>
      <c r="S31" s="278" t="s">
        <v>345</v>
      </c>
      <c r="T31" s="296">
        <f t="shared" si="7"/>
        <v>4</v>
      </c>
      <c r="U31" s="276"/>
      <c r="V31" s="277" t="s">
        <v>345</v>
      </c>
      <c r="W31" s="277" t="s">
        <v>345</v>
      </c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 t="s">
        <v>345</v>
      </c>
      <c r="AI31" s="277"/>
      <c r="AJ31" s="277"/>
      <c r="AK31" s="277"/>
      <c r="AL31" s="277" t="s">
        <v>345</v>
      </c>
      <c r="AM31" s="277"/>
      <c r="AN31" s="277"/>
      <c r="AO31" s="277"/>
      <c r="AP31" s="277"/>
      <c r="AQ31" s="278"/>
      <c r="AR31" s="278"/>
      <c r="AS31" s="296">
        <f t="shared" si="8"/>
        <v>2</v>
      </c>
      <c r="AT31" s="276"/>
      <c r="AU31" s="277"/>
      <c r="AV31" s="277" t="s">
        <v>345</v>
      </c>
      <c r="AW31" s="277"/>
      <c r="AX31" s="277" t="s">
        <v>345</v>
      </c>
      <c r="AY31" s="279"/>
    </row>
    <row r="32" spans="1:51" x14ac:dyDescent="0.25">
      <c r="A32" s="5">
        <f>'[1]Studia stacjonarne'!A39</f>
        <v>11</v>
      </c>
      <c r="B32" s="4" t="str">
        <f>'[1]Studia stacjonarne'!B39</f>
        <v>Sieci komputerowe</v>
      </c>
      <c r="C32" s="292">
        <f t="shared" si="6"/>
        <v>1</v>
      </c>
      <c r="D32" s="276"/>
      <c r="E32" s="277"/>
      <c r="F32" s="277"/>
      <c r="G32" s="277"/>
      <c r="H32" s="277"/>
      <c r="I32" s="277"/>
      <c r="J32" s="277"/>
      <c r="K32" s="277" t="s">
        <v>345</v>
      </c>
      <c r="L32" s="277"/>
      <c r="M32" s="277"/>
      <c r="N32" s="277"/>
      <c r="O32" s="277"/>
      <c r="P32" s="277"/>
      <c r="Q32" s="277"/>
      <c r="R32" s="277"/>
      <c r="S32" s="278"/>
      <c r="T32" s="296">
        <f t="shared" si="7"/>
        <v>1</v>
      </c>
      <c r="U32" s="276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 t="s">
        <v>345</v>
      </c>
      <c r="AH32" s="277"/>
      <c r="AI32" s="277"/>
      <c r="AJ32" s="277"/>
      <c r="AK32" s="277"/>
      <c r="AL32" s="277"/>
      <c r="AM32" s="277"/>
      <c r="AN32" s="277"/>
      <c r="AO32" s="277"/>
      <c r="AP32" s="277"/>
      <c r="AQ32" s="278"/>
      <c r="AR32" s="278"/>
      <c r="AS32" s="296">
        <f t="shared" si="8"/>
        <v>1</v>
      </c>
      <c r="AT32" s="276"/>
      <c r="AU32" s="277"/>
      <c r="AV32" s="277"/>
      <c r="AW32" s="277" t="s">
        <v>345</v>
      </c>
      <c r="AX32" s="277"/>
      <c r="AY32" s="279"/>
    </row>
    <row r="33" spans="1:51" x14ac:dyDescent="0.25">
      <c r="A33" s="5">
        <f>'[1]Studia stacjonarne'!A40</f>
        <v>12</v>
      </c>
      <c r="B33" s="4" t="str">
        <f>'[1]Studia stacjonarne'!B40</f>
        <v>Sieci bezprzewodowe</v>
      </c>
      <c r="C33" s="292">
        <f t="shared" si="6"/>
        <v>2</v>
      </c>
      <c r="D33" s="276"/>
      <c r="E33" s="277"/>
      <c r="F33" s="277" t="s">
        <v>345</v>
      </c>
      <c r="G33" s="277"/>
      <c r="H33" s="277"/>
      <c r="I33" s="277"/>
      <c r="J33" s="277"/>
      <c r="K33" s="277" t="s">
        <v>345</v>
      </c>
      <c r="L33" s="277"/>
      <c r="M33" s="277"/>
      <c r="N33" s="277"/>
      <c r="O33" s="277"/>
      <c r="P33" s="277"/>
      <c r="Q33" s="277"/>
      <c r="R33" s="277"/>
      <c r="S33" s="278"/>
      <c r="T33" s="296">
        <f t="shared" si="7"/>
        <v>3</v>
      </c>
      <c r="U33" s="276"/>
      <c r="V33" s="277"/>
      <c r="W33" s="277"/>
      <c r="X33" s="277"/>
      <c r="Y33" s="277" t="s">
        <v>345</v>
      </c>
      <c r="Z33" s="277"/>
      <c r="AA33" s="277"/>
      <c r="AB33" s="277"/>
      <c r="AC33" s="277"/>
      <c r="AD33" s="277"/>
      <c r="AE33" s="277"/>
      <c r="AF33" s="277"/>
      <c r="AG33" s="277" t="s">
        <v>345</v>
      </c>
      <c r="AH33" s="277"/>
      <c r="AI33" s="277"/>
      <c r="AJ33" s="277"/>
      <c r="AK33" s="277"/>
      <c r="AL33" s="277"/>
      <c r="AM33" s="277"/>
      <c r="AN33" s="277"/>
      <c r="AO33" s="277"/>
      <c r="AP33" s="277"/>
      <c r="AQ33" s="278" t="s">
        <v>345</v>
      </c>
      <c r="AR33" s="278"/>
      <c r="AS33" s="296">
        <f t="shared" si="8"/>
        <v>2</v>
      </c>
      <c r="AT33" s="276"/>
      <c r="AU33" s="277" t="s">
        <v>345</v>
      </c>
      <c r="AV33" s="277"/>
      <c r="AW33" s="277"/>
      <c r="AX33" s="277"/>
      <c r="AY33" s="279" t="s">
        <v>345</v>
      </c>
    </row>
    <row r="34" spans="1:51" x14ac:dyDescent="0.25">
      <c r="A34" s="5">
        <f>'[1]Studia stacjonarne'!A41</f>
        <v>13</v>
      </c>
      <c r="B34" s="4" t="str">
        <f>'[1]Studia stacjonarne'!B41</f>
        <v>Bazy danych</v>
      </c>
      <c r="C34" s="292">
        <f t="shared" si="6"/>
        <v>3</v>
      </c>
      <c r="D34" s="276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 t="s">
        <v>345</v>
      </c>
      <c r="P34" s="277"/>
      <c r="Q34" s="277" t="s">
        <v>345</v>
      </c>
      <c r="R34" s="277" t="s">
        <v>345</v>
      </c>
      <c r="S34" s="278"/>
      <c r="T34" s="296">
        <f t="shared" si="7"/>
        <v>2</v>
      </c>
      <c r="U34" s="276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 t="s">
        <v>345</v>
      </c>
      <c r="AG34" s="277"/>
      <c r="AH34" s="277"/>
      <c r="AI34" s="277"/>
      <c r="AJ34" s="277"/>
      <c r="AK34" s="277"/>
      <c r="AL34" s="277"/>
      <c r="AM34" s="277" t="s">
        <v>345</v>
      </c>
      <c r="AN34" s="277"/>
      <c r="AO34" s="277"/>
      <c r="AP34" s="277"/>
      <c r="AQ34" s="278"/>
      <c r="AR34" s="278"/>
      <c r="AS34" s="296">
        <f t="shared" si="8"/>
        <v>1</v>
      </c>
      <c r="AT34" s="276"/>
      <c r="AU34" s="277"/>
      <c r="AV34" s="277"/>
      <c r="AW34" s="277"/>
      <c r="AX34" s="277" t="s">
        <v>345</v>
      </c>
      <c r="AY34" s="279"/>
    </row>
    <row r="35" spans="1:51" x14ac:dyDescent="0.25">
      <c r="A35" s="5">
        <f>'[1]Studia stacjonarne'!A42</f>
        <v>14</v>
      </c>
      <c r="B35" s="4" t="str">
        <f>'[1]Studia stacjonarne'!B42</f>
        <v>Systemy wbudowane</v>
      </c>
      <c r="C35" s="292">
        <f t="shared" si="6"/>
        <v>2</v>
      </c>
      <c r="D35" s="276"/>
      <c r="E35" s="277"/>
      <c r="F35" s="277"/>
      <c r="G35" s="277" t="s">
        <v>345</v>
      </c>
      <c r="H35" s="277"/>
      <c r="I35" s="277"/>
      <c r="J35" s="277" t="s">
        <v>345</v>
      </c>
      <c r="K35" s="277"/>
      <c r="L35" s="277"/>
      <c r="M35" s="277"/>
      <c r="N35" s="277"/>
      <c r="O35" s="277"/>
      <c r="P35" s="277"/>
      <c r="Q35" s="277"/>
      <c r="R35" s="277"/>
      <c r="S35" s="278"/>
      <c r="T35" s="296">
        <f t="shared" si="7"/>
        <v>3</v>
      </c>
      <c r="U35" s="276"/>
      <c r="V35" s="277"/>
      <c r="W35" s="277"/>
      <c r="X35" s="277"/>
      <c r="Y35" s="277"/>
      <c r="Z35" s="277" t="s">
        <v>345</v>
      </c>
      <c r="AA35" s="277"/>
      <c r="AB35" s="277"/>
      <c r="AC35" s="277"/>
      <c r="AD35" s="277"/>
      <c r="AE35" s="277" t="s">
        <v>345</v>
      </c>
      <c r="AF35" s="277"/>
      <c r="AG35" s="277"/>
      <c r="AH35" s="277" t="s">
        <v>345</v>
      </c>
      <c r="AI35" s="277"/>
      <c r="AJ35" s="277"/>
      <c r="AK35" s="277"/>
      <c r="AL35" s="277"/>
      <c r="AM35" s="277"/>
      <c r="AN35" s="277"/>
      <c r="AO35" s="277"/>
      <c r="AP35" s="277"/>
      <c r="AQ35" s="278"/>
      <c r="AR35" s="278"/>
      <c r="AS35" s="296">
        <f t="shared" si="8"/>
        <v>1</v>
      </c>
      <c r="AT35" s="276"/>
      <c r="AU35" s="277"/>
      <c r="AV35" s="277"/>
      <c r="AW35" s="277"/>
      <c r="AX35" s="277" t="s">
        <v>345</v>
      </c>
      <c r="AY35" s="279"/>
    </row>
    <row r="36" spans="1:51" x14ac:dyDescent="0.25">
      <c r="A36" s="5">
        <f>'[1]Studia stacjonarne'!A43</f>
        <v>15</v>
      </c>
      <c r="B36" s="4" t="str">
        <f>'[1]Studia stacjonarne'!B43</f>
        <v>Programowanie inżynierskie Matlab</v>
      </c>
      <c r="C36" s="292">
        <f t="shared" si="6"/>
        <v>2</v>
      </c>
      <c r="D36" s="276"/>
      <c r="E36" s="277"/>
      <c r="F36" s="277"/>
      <c r="G36" s="277"/>
      <c r="H36" s="277"/>
      <c r="I36" s="277"/>
      <c r="J36" s="277"/>
      <c r="K36" s="277"/>
      <c r="L36" s="277"/>
      <c r="M36" s="277" t="s">
        <v>345</v>
      </c>
      <c r="N36" s="277"/>
      <c r="O36" s="277"/>
      <c r="P36" s="277" t="s">
        <v>345</v>
      </c>
      <c r="Q36" s="277"/>
      <c r="R36" s="277"/>
      <c r="S36" s="278"/>
      <c r="T36" s="296">
        <f t="shared" si="7"/>
        <v>5</v>
      </c>
      <c r="U36" s="276"/>
      <c r="V36" s="277"/>
      <c r="W36" s="277"/>
      <c r="X36" s="277"/>
      <c r="Y36" s="277"/>
      <c r="Z36" s="277"/>
      <c r="AA36" s="277" t="s">
        <v>345</v>
      </c>
      <c r="AB36" s="277"/>
      <c r="AC36" s="277"/>
      <c r="AD36" s="277"/>
      <c r="AE36" s="277"/>
      <c r="AF36" s="277"/>
      <c r="AG36" s="277"/>
      <c r="AH36" s="277"/>
      <c r="AI36" s="277" t="s">
        <v>345</v>
      </c>
      <c r="AJ36" s="277" t="s">
        <v>345</v>
      </c>
      <c r="AK36" s="277"/>
      <c r="AL36" s="277"/>
      <c r="AM36" s="277"/>
      <c r="AN36" s="277" t="s">
        <v>345</v>
      </c>
      <c r="AO36" s="277"/>
      <c r="AP36" s="277" t="s">
        <v>345</v>
      </c>
      <c r="AQ36" s="278"/>
      <c r="AR36" s="278"/>
      <c r="AS36" s="296">
        <f t="shared" si="8"/>
        <v>1</v>
      </c>
      <c r="AT36" s="276"/>
      <c r="AU36" s="277"/>
      <c r="AV36" s="277"/>
      <c r="AW36" s="277"/>
      <c r="AX36" s="277" t="s">
        <v>345</v>
      </c>
      <c r="AY36" s="279"/>
    </row>
    <row r="37" spans="1:51" x14ac:dyDescent="0.25">
      <c r="A37" s="5">
        <f>'[1]Studia stacjonarne'!A44</f>
        <v>16</v>
      </c>
      <c r="B37" s="4" t="str">
        <f>'[1]Studia stacjonarne'!B44</f>
        <v>Podstawy przetwarzania sygnałów</v>
      </c>
      <c r="C37" s="292">
        <f t="shared" si="6"/>
        <v>2</v>
      </c>
      <c r="D37" s="276"/>
      <c r="E37" s="277"/>
      <c r="F37" s="277"/>
      <c r="G37" s="277"/>
      <c r="H37" s="277"/>
      <c r="I37" s="277"/>
      <c r="J37" s="277" t="s">
        <v>345</v>
      </c>
      <c r="K37" s="277"/>
      <c r="L37" s="277"/>
      <c r="M37" s="277"/>
      <c r="N37" s="277"/>
      <c r="O37" s="277"/>
      <c r="P37" s="277"/>
      <c r="Q37" s="277"/>
      <c r="R37" s="277" t="s">
        <v>345</v>
      </c>
      <c r="S37" s="278"/>
      <c r="T37" s="296">
        <f t="shared" si="7"/>
        <v>4</v>
      </c>
      <c r="U37" s="276"/>
      <c r="V37" s="277"/>
      <c r="W37" s="277"/>
      <c r="X37" s="277"/>
      <c r="Y37" s="277"/>
      <c r="Z37" s="277"/>
      <c r="AA37" s="277" t="s">
        <v>345</v>
      </c>
      <c r="AB37" s="277"/>
      <c r="AC37" s="277" t="s">
        <v>345</v>
      </c>
      <c r="AD37" s="277"/>
      <c r="AE37" s="277" t="s">
        <v>345</v>
      </c>
      <c r="AF37" s="277"/>
      <c r="AG37" s="277"/>
      <c r="AH37" s="277"/>
      <c r="AI37" s="277"/>
      <c r="AJ37" s="277"/>
      <c r="AK37" s="277"/>
      <c r="AL37" s="277"/>
      <c r="AM37" s="277"/>
      <c r="AN37" s="277" t="s">
        <v>345</v>
      </c>
      <c r="AO37" s="277"/>
      <c r="AP37" s="277"/>
      <c r="AQ37" s="278"/>
      <c r="AR37" s="278"/>
      <c r="AS37" s="296">
        <f t="shared" si="8"/>
        <v>1</v>
      </c>
      <c r="AT37" s="276"/>
      <c r="AU37" s="277"/>
      <c r="AV37" s="277"/>
      <c r="AW37" s="277"/>
      <c r="AX37" s="277" t="s">
        <v>345</v>
      </c>
      <c r="AY37" s="279"/>
    </row>
    <row r="38" spans="1:51" x14ac:dyDescent="0.25">
      <c r="A38" s="5">
        <f>'[1]Studia stacjonarne'!A45</f>
        <v>17</v>
      </c>
      <c r="B38" s="4" t="str">
        <f>'[1]Studia stacjonarne'!B45</f>
        <v>Cyfrowe przetwarzanie obrazów</v>
      </c>
      <c r="C38" s="292">
        <f t="shared" si="6"/>
        <v>3</v>
      </c>
      <c r="D38" s="276"/>
      <c r="E38" s="277"/>
      <c r="F38" s="277"/>
      <c r="G38" s="277"/>
      <c r="H38" s="277"/>
      <c r="I38" s="277" t="s">
        <v>345</v>
      </c>
      <c r="J38" s="277"/>
      <c r="K38" s="277"/>
      <c r="L38" s="277"/>
      <c r="M38" s="277"/>
      <c r="N38" s="277"/>
      <c r="O38" s="277"/>
      <c r="P38" s="277" t="s">
        <v>345</v>
      </c>
      <c r="Q38" s="277"/>
      <c r="R38" s="277" t="s">
        <v>345</v>
      </c>
      <c r="S38" s="278"/>
      <c r="T38" s="296">
        <f t="shared" si="7"/>
        <v>4</v>
      </c>
      <c r="U38" s="276"/>
      <c r="V38" s="277"/>
      <c r="W38" s="277"/>
      <c r="X38" s="277"/>
      <c r="Y38" s="277"/>
      <c r="Z38" s="277"/>
      <c r="AA38" s="277" t="s">
        <v>345</v>
      </c>
      <c r="AB38" s="277"/>
      <c r="AC38" s="277" t="s">
        <v>345</v>
      </c>
      <c r="AD38" s="277"/>
      <c r="AE38" s="277" t="s">
        <v>345</v>
      </c>
      <c r="AF38" s="277"/>
      <c r="AG38" s="277"/>
      <c r="AH38" s="277"/>
      <c r="AI38" s="277"/>
      <c r="AJ38" s="277"/>
      <c r="AK38" s="277"/>
      <c r="AL38" s="277"/>
      <c r="AM38" s="277"/>
      <c r="AN38" s="277" t="s">
        <v>345</v>
      </c>
      <c r="AO38" s="277"/>
      <c r="AP38" s="277"/>
      <c r="AQ38" s="278"/>
      <c r="AR38" s="278"/>
      <c r="AS38" s="296">
        <f t="shared" si="8"/>
        <v>1</v>
      </c>
      <c r="AT38" s="276"/>
      <c r="AU38" s="277"/>
      <c r="AV38" s="277"/>
      <c r="AW38" s="277"/>
      <c r="AX38" s="277" t="s">
        <v>345</v>
      </c>
      <c r="AY38" s="279"/>
    </row>
    <row r="39" spans="1:51" x14ac:dyDescent="0.25">
      <c r="A39" s="5">
        <f>'[1]Studia stacjonarne'!A46</f>
        <v>18</v>
      </c>
      <c r="B39" s="4" t="str">
        <f>'[1]Studia stacjonarne'!B46</f>
        <v>Sztuczna inteligencja</v>
      </c>
      <c r="C39" s="292">
        <f t="shared" si="6"/>
        <v>2</v>
      </c>
      <c r="D39" s="276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 t="s">
        <v>345</v>
      </c>
      <c r="Q39" s="277"/>
      <c r="R39" s="277" t="s">
        <v>345</v>
      </c>
      <c r="S39" s="278"/>
      <c r="T39" s="296">
        <f t="shared" si="7"/>
        <v>2</v>
      </c>
      <c r="U39" s="276"/>
      <c r="V39" s="277"/>
      <c r="W39" s="277"/>
      <c r="X39" s="277"/>
      <c r="Y39" s="277"/>
      <c r="Z39" s="277"/>
      <c r="AA39" s="277" t="s">
        <v>345</v>
      </c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 t="s">
        <v>345</v>
      </c>
      <c r="AO39" s="277"/>
      <c r="AP39" s="277"/>
      <c r="AQ39" s="278"/>
      <c r="AR39" s="278"/>
      <c r="AS39" s="296">
        <f t="shared" si="8"/>
        <v>2</v>
      </c>
      <c r="AT39" s="276"/>
      <c r="AU39" s="277" t="s">
        <v>345</v>
      </c>
      <c r="AV39" s="277"/>
      <c r="AW39" s="277" t="s">
        <v>345</v>
      </c>
      <c r="AX39" s="277"/>
      <c r="AY39" s="279"/>
    </row>
    <row r="40" spans="1:51" x14ac:dyDescent="0.25">
      <c r="A40" s="5">
        <f>'[1]Studia stacjonarne'!A47</f>
        <v>19</v>
      </c>
      <c r="B40" s="4" t="str">
        <f>'[1]Studia stacjonarne'!B47</f>
        <v>Projektowanie interfejsu użytkownika</v>
      </c>
      <c r="C40" s="292">
        <f t="shared" si="6"/>
        <v>1</v>
      </c>
      <c r="D40" s="276"/>
      <c r="E40" s="277"/>
      <c r="F40" s="277"/>
      <c r="G40" s="277"/>
      <c r="H40" s="277"/>
      <c r="I40" s="277" t="s">
        <v>345</v>
      </c>
      <c r="J40" s="277"/>
      <c r="K40" s="277"/>
      <c r="L40" s="277"/>
      <c r="M40" s="277"/>
      <c r="N40" s="277"/>
      <c r="O40" s="277"/>
      <c r="P40" s="277"/>
      <c r="Q40" s="277"/>
      <c r="R40" s="277"/>
      <c r="S40" s="278"/>
      <c r="T40" s="296">
        <f t="shared" si="7"/>
        <v>2</v>
      </c>
      <c r="U40" s="276"/>
      <c r="V40" s="277"/>
      <c r="W40" s="277"/>
      <c r="X40" s="277"/>
      <c r="Y40" s="277"/>
      <c r="Z40" s="277"/>
      <c r="AA40" s="277"/>
      <c r="AB40" s="277" t="s">
        <v>345</v>
      </c>
      <c r="AC40" s="277"/>
      <c r="AD40" s="277" t="s">
        <v>345</v>
      </c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8"/>
      <c r="AR40" s="278"/>
      <c r="AS40" s="296">
        <f t="shared" si="8"/>
        <v>1</v>
      </c>
      <c r="AT40" s="276"/>
      <c r="AU40" s="277" t="s">
        <v>345</v>
      </c>
      <c r="AV40" s="277"/>
      <c r="AW40" s="277"/>
      <c r="AX40" s="277"/>
      <c r="AY40" s="279"/>
    </row>
    <row r="41" spans="1:51" ht="15.75" thickBot="1" x14ac:dyDescent="0.3">
      <c r="A41" s="21">
        <f>'[1]Studia stacjonarne'!A48</f>
        <v>20</v>
      </c>
      <c r="B41" s="23" t="str">
        <f>'[1]Studia stacjonarne'!B48</f>
        <v>Kryptografia i bezpieczeństwo informacji</v>
      </c>
      <c r="C41" s="292">
        <f t="shared" si="6"/>
        <v>1</v>
      </c>
      <c r="D41" s="280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2" t="s">
        <v>345</v>
      </c>
      <c r="T41" s="296">
        <f t="shared" si="7"/>
        <v>2</v>
      </c>
      <c r="U41" s="280"/>
      <c r="V41" s="281"/>
      <c r="W41" s="281" t="s">
        <v>345</v>
      </c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 t="s">
        <v>345</v>
      </c>
      <c r="AM41" s="281"/>
      <c r="AN41" s="281"/>
      <c r="AO41" s="281"/>
      <c r="AP41" s="281"/>
      <c r="AQ41" s="282"/>
      <c r="AR41" s="282"/>
      <c r="AS41" s="296">
        <f t="shared" si="8"/>
        <v>1</v>
      </c>
      <c r="AT41" s="280"/>
      <c r="AU41" s="281"/>
      <c r="AV41" s="281" t="s">
        <v>345</v>
      </c>
      <c r="AW41" s="281"/>
      <c r="AX41" s="281"/>
      <c r="AY41" s="283"/>
    </row>
    <row r="42" spans="1:51" ht="15.75" thickBot="1" x14ac:dyDescent="0.3">
      <c r="A42" s="204" t="str">
        <f>'[1]Studia stacjonarne'!A49</f>
        <v>IVa.</v>
      </c>
      <c r="B42" s="131" t="str">
        <f>'[1]Studia stacjonarne'!B49</f>
        <v>Moduł specjalnościowy: Sieci komputerowe</v>
      </c>
      <c r="C42" s="293"/>
      <c r="D42" s="202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3"/>
      <c r="T42" s="293"/>
      <c r="U42" s="202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3"/>
      <c r="AR42" s="203"/>
      <c r="AS42" s="293"/>
      <c r="AT42" s="202"/>
      <c r="AU42" s="201"/>
      <c r="AV42" s="201"/>
      <c r="AW42" s="201"/>
      <c r="AX42" s="201"/>
      <c r="AY42" s="131"/>
    </row>
    <row r="43" spans="1:51" x14ac:dyDescent="0.25">
      <c r="A43" s="200">
        <f>'[1]Studia stacjonarne'!A50</f>
        <v>1</v>
      </c>
      <c r="B43" s="199" t="str">
        <f>'[1]Studia stacjonarne'!B50</f>
        <v>Protokoły sieci teleinformatycznych</v>
      </c>
      <c r="C43" s="292">
        <f t="shared" ref="C43:C50" si="9">COUNTA(D43:S43)</f>
        <v>2</v>
      </c>
      <c r="D43" s="272"/>
      <c r="E43" s="273"/>
      <c r="F43" s="273"/>
      <c r="G43" s="273"/>
      <c r="H43" s="273"/>
      <c r="I43" s="273"/>
      <c r="J43" s="273"/>
      <c r="K43" s="273" t="s">
        <v>345</v>
      </c>
      <c r="L43" s="273"/>
      <c r="M43" s="273"/>
      <c r="N43" s="273"/>
      <c r="O43" s="273"/>
      <c r="P43" s="273"/>
      <c r="Q43" s="273" t="s">
        <v>345</v>
      </c>
      <c r="R43" s="273"/>
      <c r="S43" s="274"/>
      <c r="T43" s="296">
        <f t="shared" ref="T43:T50" si="10">COUNTA(U43:AR43)</f>
        <v>1</v>
      </c>
      <c r="U43" s="272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 t="s">
        <v>345</v>
      </c>
      <c r="AL43" s="273"/>
      <c r="AM43" s="273"/>
      <c r="AN43" s="273"/>
      <c r="AO43" s="273"/>
      <c r="AP43" s="273"/>
      <c r="AQ43" s="274"/>
      <c r="AR43" s="274"/>
      <c r="AS43" s="296">
        <f t="shared" ref="AS43:AS50" si="11">COUNTA(AT43:AY43)</f>
        <v>1</v>
      </c>
      <c r="AT43" s="272"/>
      <c r="AU43" s="273"/>
      <c r="AV43" s="273"/>
      <c r="AW43" s="273"/>
      <c r="AX43" s="273"/>
      <c r="AY43" s="275" t="s">
        <v>345</v>
      </c>
    </row>
    <row r="44" spans="1:51" x14ac:dyDescent="0.25">
      <c r="A44" s="5">
        <f>'[1]Studia stacjonarne'!A51</f>
        <v>2</v>
      </c>
      <c r="B44" s="4" t="str">
        <f>'[1]Studia stacjonarne'!B51</f>
        <v>Administrowanie serwerami</v>
      </c>
      <c r="C44" s="292">
        <f t="shared" si="9"/>
        <v>5</v>
      </c>
      <c r="D44" s="276"/>
      <c r="E44" s="277"/>
      <c r="F44" s="277"/>
      <c r="G44" s="277"/>
      <c r="H44" s="277" t="s">
        <v>345</v>
      </c>
      <c r="I44" s="277"/>
      <c r="J44" s="277" t="s">
        <v>345</v>
      </c>
      <c r="K44" s="277"/>
      <c r="L44" s="277"/>
      <c r="M44" s="277"/>
      <c r="N44" s="277"/>
      <c r="O44" s="277" t="s">
        <v>345</v>
      </c>
      <c r="P44" s="277"/>
      <c r="Q44" s="277" t="s">
        <v>345</v>
      </c>
      <c r="R44" s="277"/>
      <c r="S44" s="278" t="s">
        <v>345</v>
      </c>
      <c r="T44" s="296">
        <f t="shared" si="10"/>
        <v>3</v>
      </c>
      <c r="U44" s="276"/>
      <c r="V44" s="277" t="s">
        <v>345</v>
      </c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 t="s">
        <v>345</v>
      </c>
      <c r="AH44" s="277"/>
      <c r="AI44" s="277"/>
      <c r="AJ44" s="277"/>
      <c r="AK44" s="277"/>
      <c r="AL44" s="277" t="s">
        <v>345</v>
      </c>
      <c r="AM44" s="277"/>
      <c r="AN44" s="277"/>
      <c r="AO44" s="277"/>
      <c r="AP44" s="277"/>
      <c r="AQ44" s="278"/>
      <c r="AR44" s="278"/>
      <c r="AS44" s="296">
        <f t="shared" si="11"/>
        <v>3</v>
      </c>
      <c r="AT44" s="276"/>
      <c r="AU44" s="277"/>
      <c r="AV44" s="277" t="s">
        <v>345</v>
      </c>
      <c r="AW44" s="277"/>
      <c r="AX44" s="277" t="s">
        <v>345</v>
      </c>
      <c r="AY44" s="279" t="s">
        <v>345</v>
      </c>
    </row>
    <row r="45" spans="1:51" x14ac:dyDescent="0.25">
      <c r="A45" s="5">
        <f>'[1]Studia stacjonarne'!A52</f>
        <v>3</v>
      </c>
      <c r="B45" s="4" t="str">
        <f>'[1]Studia stacjonarne'!B52</f>
        <v>Technologie routingu i switchingu</v>
      </c>
      <c r="C45" s="292">
        <f t="shared" si="9"/>
        <v>2</v>
      </c>
      <c r="D45" s="276"/>
      <c r="E45" s="277"/>
      <c r="F45" s="277"/>
      <c r="G45" s="277"/>
      <c r="H45" s="277"/>
      <c r="I45" s="277"/>
      <c r="J45" s="277"/>
      <c r="K45" s="277" t="s">
        <v>345</v>
      </c>
      <c r="L45" s="277"/>
      <c r="M45" s="277"/>
      <c r="N45" s="277"/>
      <c r="O45" s="277"/>
      <c r="P45" s="277"/>
      <c r="Q45" s="277" t="s">
        <v>345</v>
      </c>
      <c r="R45" s="277"/>
      <c r="S45" s="278"/>
      <c r="T45" s="296">
        <f t="shared" si="10"/>
        <v>2</v>
      </c>
      <c r="U45" s="276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 t="s">
        <v>345</v>
      </c>
      <c r="AH45" s="277"/>
      <c r="AI45" s="277"/>
      <c r="AJ45" s="277"/>
      <c r="AK45" s="277"/>
      <c r="AL45" s="277"/>
      <c r="AM45" s="277"/>
      <c r="AN45" s="277"/>
      <c r="AO45" s="277" t="s">
        <v>345</v>
      </c>
      <c r="AP45" s="277"/>
      <c r="AQ45" s="278"/>
      <c r="AR45" s="278"/>
      <c r="AS45" s="296">
        <f t="shared" si="11"/>
        <v>1</v>
      </c>
      <c r="AT45" s="276"/>
      <c r="AU45" s="277"/>
      <c r="AV45" s="277"/>
      <c r="AW45" s="277"/>
      <c r="AX45" s="277"/>
      <c r="AY45" s="279" t="s">
        <v>345</v>
      </c>
    </row>
    <row r="46" spans="1:51" x14ac:dyDescent="0.25">
      <c r="A46" s="5">
        <f>'[1]Studia stacjonarne'!A53</f>
        <v>4</v>
      </c>
      <c r="B46" s="4" t="str">
        <f>'[1]Studia stacjonarne'!B53</f>
        <v>Projektowanie infrastruktury sieci</v>
      </c>
      <c r="C46" s="292">
        <f t="shared" si="9"/>
        <v>2</v>
      </c>
      <c r="D46" s="276"/>
      <c r="E46" s="277"/>
      <c r="F46" s="277"/>
      <c r="G46" s="277"/>
      <c r="H46" s="277"/>
      <c r="I46" s="277"/>
      <c r="J46" s="277"/>
      <c r="K46" s="277" t="s">
        <v>345</v>
      </c>
      <c r="L46" s="277"/>
      <c r="M46" s="277"/>
      <c r="N46" s="277"/>
      <c r="O46" s="277"/>
      <c r="P46" s="277"/>
      <c r="Q46" s="277" t="s">
        <v>345</v>
      </c>
      <c r="R46" s="277"/>
      <c r="S46" s="278"/>
      <c r="T46" s="296">
        <f t="shared" si="10"/>
        <v>4</v>
      </c>
      <c r="U46" s="276"/>
      <c r="V46" s="277"/>
      <c r="W46" s="277" t="s">
        <v>345</v>
      </c>
      <c r="X46" s="277"/>
      <c r="Y46" s="277"/>
      <c r="Z46" s="277"/>
      <c r="AA46" s="277"/>
      <c r="AB46" s="277"/>
      <c r="AC46" s="277"/>
      <c r="AD46" s="277"/>
      <c r="AE46" s="277"/>
      <c r="AF46" s="277"/>
      <c r="AG46" s="277" t="s">
        <v>345</v>
      </c>
      <c r="AH46" s="277" t="s">
        <v>345</v>
      </c>
      <c r="AI46" s="277"/>
      <c r="AJ46" s="277"/>
      <c r="AK46" s="277" t="s">
        <v>345</v>
      </c>
      <c r="AL46" s="277"/>
      <c r="AM46" s="277"/>
      <c r="AN46" s="277"/>
      <c r="AO46" s="277"/>
      <c r="AP46" s="277"/>
      <c r="AQ46" s="278"/>
      <c r="AR46" s="278"/>
      <c r="AS46" s="296">
        <f t="shared" si="11"/>
        <v>2</v>
      </c>
      <c r="AT46" s="276"/>
      <c r="AU46" s="277"/>
      <c r="AV46" s="277" t="s">
        <v>345</v>
      </c>
      <c r="AW46" s="277"/>
      <c r="AX46" s="277"/>
      <c r="AY46" s="279" t="s">
        <v>345</v>
      </c>
    </row>
    <row r="47" spans="1:51" x14ac:dyDescent="0.25">
      <c r="A47" s="5">
        <f>'[1]Studia stacjonarne'!A54</f>
        <v>5</v>
      </c>
      <c r="B47" s="4" t="str">
        <f>'[1]Studia stacjonarne'!B54</f>
        <v>Technologia sieci rozległych</v>
      </c>
      <c r="C47" s="292">
        <f t="shared" si="9"/>
        <v>2</v>
      </c>
      <c r="D47" s="276"/>
      <c r="E47" s="277"/>
      <c r="F47" s="277"/>
      <c r="G47" s="277"/>
      <c r="H47" s="277"/>
      <c r="I47" s="277"/>
      <c r="J47" s="277"/>
      <c r="K47" s="277" t="s">
        <v>345</v>
      </c>
      <c r="L47" s="277"/>
      <c r="M47" s="277"/>
      <c r="N47" s="277"/>
      <c r="O47" s="277"/>
      <c r="P47" s="277"/>
      <c r="Q47" s="277" t="s">
        <v>345</v>
      </c>
      <c r="R47" s="277"/>
      <c r="S47" s="278"/>
      <c r="T47" s="296">
        <f t="shared" si="10"/>
        <v>4</v>
      </c>
      <c r="U47" s="276"/>
      <c r="V47" s="277"/>
      <c r="W47" s="277" t="s">
        <v>345</v>
      </c>
      <c r="X47" s="277"/>
      <c r="Y47" s="277"/>
      <c r="Z47" s="277"/>
      <c r="AA47" s="277"/>
      <c r="AB47" s="277"/>
      <c r="AC47" s="277"/>
      <c r="AD47" s="277"/>
      <c r="AE47" s="277"/>
      <c r="AF47" s="277"/>
      <c r="AG47" s="277" t="s">
        <v>345</v>
      </c>
      <c r="AH47" s="277" t="s">
        <v>345</v>
      </c>
      <c r="AI47" s="277"/>
      <c r="AJ47" s="277"/>
      <c r="AK47" s="277" t="s">
        <v>345</v>
      </c>
      <c r="AL47" s="277"/>
      <c r="AM47" s="277"/>
      <c r="AN47" s="277"/>
      <c r="AO47" s="277"/>
      <c r="AP47" s="277"/>
      <c r="AQ47" s="278"/>
      <c r="AR47" s="278"/>
      <c r="AS47" s="296">
        <f t="shared" si="11"/>
        <v>1</v>
      </c>
      <c r="AT47" s="276"/>
      <c r="AU47" s="277"/>
      <c r="AV47" s="277"/>
      <c r="AW47" s="277"/>
      <c r="AX47" s="277"/>
      <c r="AY47" s="279" t="s">
        <v>345</v>
      </c>
    </row>
    <row r="48" spans="1:51" x14ac:dyDescent="0.25">
      <c r="A48" s="5">
        <f>'[1]Studia stacjonarne'!A55</f>
        <v>6</v>
      </c>
      <c r="B48" s="4" t="str">
        <f>'[1]Studia stacjonarne'!B55</f>
        <v>Usługi katalogowe</v>
      </c>
      <c r="C48" s="292">
        <f t="shared" si="9"/>
        <v>4</v>
      </c>
      <c r="D48" s="276"/>
      <c r="E48" s="277"/>
      <c r="F48" s="277"/>
      <c r="G48" s="277"/>
      <c r="H48" s="277" t="s">
        <v>345</v>
      </c>
      <c r="I48" s="277"/>
      <c r="J48" s="277"/>
      <c r="K48" s="277"/>
      <c r="L48" s="277"/>
      <c r="M48" s="277"/>
      <c r="N48" s="277"/>
      <c r="O48" s="277" t="s">
        <v>345</v>
      </c>
      <c r="P48" s="277"/>
      <c r="Q48" s="277" t="s">
        <v>345</v>
      </c>
      <c r="R48" s="277"/>
      <c r="S48" s="278" t="s">
        <v>345</v>
      </c>
      <c r="T48" s="296">
        <f t="shared" si="10"/>
        <v>4</v>
      </c>
      <c r="U48" s="276"/>
      <c r="V48" s="277" t="s">
        <v>345</v>
      </c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 t="s">
        <v>345</v>
      </c>
      <c r="AH48" s="277"/>
      <c r="AI48" s="277"/>
      <c r="AJ48" s="277"/>
      <c r="AK48" s="277"/>
      <c r="AL48" s="277" t="s">
        <v>345</v>
      </c>
      <c r="AM48" s="277"/>
      <c r="AN48" s="277"/>
      <c r="AO48" s="277"/>
      <c r="AP48" s="277"/>
      <c r="AQ48" s="278" t="s">
        <v>345</v>
      </c>
      <c r="AR48" s="278"/>
      <c r="AS48" s="296">
        <f t="shared" si="11"/>
        <v>3</v>
      </c>
      <c r="AT48" s="276"/>
      <c r="AU48" s="277"/>
      <c r="AV48" s="277" t="s">
        <v>345</v>
      </c>
      <c r="AW48" s="277"/>
      <c r="AX48" s="277" t="s">
        <v>345</v>
      </c>
      <c r="AY48" s="279" t="s">
        <v>345</v>
      </c>
    </row>
    <row r="49" spans="1:51" x14ac:dyDescent="0.25">
      <c r="A49" s="5">
        <f>'[1]Studia stacjonarne'!A56</f>
        <v>7</v>
      </c>
      <c r="B49" s="4" t="str">
        <f>'[1]Studia stacjonarne'!B56</f>
        <v>Zarządzanie sieciami komputerowymi</v>
      </c>
      <c r="C49" s="292">
        <f t="shared" si="9"/>
        <v>2</v>
      </c>
      <c r="D49" s="276"/>
      <c r="E49" s="277"/>
      <c r="F49" s="277"/>
      <c r="G49" s="277"/>
      <c r="H49" s="277"/>
      <c r="I49" s="277"/>
      <c r="J49" s="277"/>
      <c r="K49" s="277" t="s">
        <v>345</v>
      </c>
      <c r="L49" s="277"/>
      <c r="M49" s="277"/>
      <c r="N49" s="277"/>
      <c r="O49" s="277"/>
      <c r="P49" s="277"/>
      <c r="Q49" s="277" t="s">
        <v>345</v>
      </c>
      <c r="R49" s="277"/>
      <c r="S49" s="278"/>
      <c r="T49" s="296">
        <f t="shared" si="10"/>
        <v>2</v>
      </c>
      <c r="U49" s="276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 t="s">
        <v>345</v>
      </c>
      <c r="AH49" s="277"/>
      <c r="AI49" s="277"/>
      <c r="AJ49" s="277"/>
      <c r="AK49" s="277" t="s">
        <v>345</v>
      </c>
      <c r="AL49" s="277"/>
      <c r="AM49" s="277"/>
      <c r="AN49" s="277"/>
      <c r="AO49" s="277"/>
      <c r="AP49" s="277"/>
      <c r="AQ49" s="278"/>
      <c r="AR49" s="278"/>
      <c r="AS49" s="296">
        <f t="shared" si="11"/>
        <v>1</v>
      </c>
      <c r="AT49" s="276"/>
      <c r="AU49" s="277"/>
      <c r="AV49" s="277"/>
      <c r="AW49" s="277"/>
      <c r="AX49" s="277"/>
      <c r="AY49" s="279" t="s">
        <v>345</v>
      </c>
    </row>
    <row r="50" spans="1:51" ht="15.75" thickBot="1" x14ac:dyDescent="0.3">
      <c r="A50" s="21">
        <f>'[1]Studia stacjonarne'!A57</f>
        <v>8</v>
      </c>
      <c r="B50" s="23" t="str">
        <f>'[1]Studia stacjonarne'!B57</f>
        <v>Bezpieczeństwo sieci</v>
      </c>
      <c r="C50" s="292">
        <f t="shared" si="9"/>
        <v>1</v>
      </c>
      <c r="D50" s="280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2" t="s">
        <v>345</v>
      </c>
      <c r="T50" s="296">
        <f t="shared" si="10"/>
        <v>3</v>
      </c>
      <c r="U50" s="280"/>
      <c r="V50" s="281"/>
      <c r="W50" s="281" t="s">
        <v>345</v>
      </c>
      <c r="X50" s="281"/>
      <c r="Y50" s="281"/>
      <c r="Z50" s="281"/>
      <c r="AA50" s="281"/>
      <c r="AB50" s="281"/>
      <c r="AC50" s="281"/>
      <c r="AD50" s="281"/>
      <c r="AE50" s="281"/>
      <c r="AF50" s="281"/>
      <c r="AG50" s="281" t="s">
        <v>345</v>
      </c>
      <c r="AH50" s="281"/>
      <c r="AI50" s="281"/>
      <c r="AJ50" s="281"/>
      <c r="AK50" s="281"/>
      <c r="AL50" s="281" t="s">
        <v>345</v>
      </c>
      <c r="AM50" s="281"/>
      <c r="AN50" s="281"/>
      <c r="AO50" s="281"/>
      <c r="AP50" s="281"/>
      <c r="AQ50" s="282"/>
      <c r="AR50" s="282"/>
      <c r="AS50" s="296">
        <f t="shared" si="11"/>
        <v>1</v>
      </c>
      <c r="AT50" s="280"/>
      <c r="AU50" s="281"/>
      <c r="AV50" s="281"/>
      <c r="AW50" s="281"/>
      <c r="AX50" s="281"/>
      <c r="AY50" s="283" t="s">
        <v>345</v>
      </c>
    </row>
    <row r="51" spans="1:51" ht="15.75" thickBot="1" x14ac:dyDescent="0.3">
      <c r="A51" s="204" t="str">
        <f>'[1]Studia stacjonarne'!A58</f>
        <v>IVb.</v>
      </c>
      <c r="B51" s="131" t="str">
        <f>'[1]Studia stacjonarne'!B58</f>
        <v>Moduł specjalnościowy: Programowanie aplikacji</v>
      </c>
      <c r="C51" s="293"/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6"/>
      <c r="T51" s="297"/>
      <c r="U51" s="284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6"/>
      <c r="AR51" s="286"/>
      <c r="AS51" s="297"/>
      <c r="AT51" s="284"/>
      <c r="AU51" s="285"/>
      <c r="AV51" s="285"/>
      <c r="AW51" s="285"/>
      <c r="AX51" s="285"/>
      <c r="AY51" s="287"/>
    </row>
    <row r="52" spans="1:51" x14ac:dyDescent="0.25">
      <c r="A52" s="200">
        <f>'[1]Studia stacjonarne'!A59</f>
        <v>1</v>
      </c>
      <c r="B52" s="199" t="str">
        <f>'[1]Studia stacjonarne'!B59</f>
        <v>Technologie internetowe</v>
      </c>
      <c r="C52" s="292">
        <f t="shared" ref="C52:C59" si="12">COUNTA(D52:S52)</f>
        <v>2</v>
      </c>
      <c r="D52" s="272"/>
      <c r="E52" s="273"/>
      <c r="F52" s="273"/>
      <c r="G52" s="273"/>
      <c r="H52" s="273"/>
      <c r="I52" s="273"/>
      <c r="J52" s="273"/>
      <c r="K52" s="273"/>
      <c r="L52" s="273"/>
      <c r="M52" s="273" t="s">
        <v>345</v>
      </c>
      <c r="N52" s="273"/>
      <c r="O52" s="273"/>
      <c r="P52" s="273"/>
      <c r="Q52" s="273" t="s">
        <v>345</v>
      </c>
      <c r="R52" s="273"/>
      <c r="S52" s="274"/>
      <c r="T52" s="296">
        <f t="shared" ref="T52:T59" si="13">COUNTA(U52:AR52)</f>
        <v>4</v>
      </c>
      <c r="U52" s="272"/>
      <c r="V52" s="273"/>
      <c r="W52" s="273"/>
      <c r="X52" s="273"/>
      <c r="Y52" s="273"/>
      <c r="Z52" s="273"/>
      <c r="AA52" s="273"/>
      <c r="AB52" s="273"/>
      <c r="AC52" s="273"/>
      <c r="AD52" s="273"/>
      <c r="AE52" s="273" t="s">
        <v>345</v>
      </c>
      <c r="AF52" s="273"/>
      <c r="AG52" s="273"/>
      <c r="AH52" s="273"/>
      <c r="AI52" s="273"/>
      <c r="AJ52" s="273" t="s">
        <v>345</v>
      </c>
      <c r="AK52" s="273" t="s">
        <v>345</v>
      </c>
      <c r="AL52" s="273"/>
      <c r="AM52" s="273" t="s">
        <v>345</v>
      </c>
      <c r="AN52" s="273"/>
      <c r="AO52" s="273"/>
      <c r="AP52" s="273"/>
      <c r="AQ52" s="274"/>
      <c r="AR52" s="274"/>
      <c r="AS52" s="296">
        <f t="shared" ref="AS52:AS59" si="14">COUNTA(AT52:AY52)</f>
        <v>1</v>
      </c>
      <c r="AT52" s="272"/>
      <c r="AU52" s="273"/>
      <c r="AV52" s="273"/>
      <c r="AW52" s="273"/>
      <c r="AX52" s="273"/>
      <c r="AY52" s="275" t="s">
        <v>345</v>
      </c>
    </row>
    <row r="53" spans="1:51" x14ac:dyDescent="0.25">
      <c r="A53" s="5">
        <f>'[1]Studia stacjonarne'!A60</f>
        <v>2</v>
      </c>
      <c r="B53" s="4" t="str">
        <f>'[1]Studia stacjonarne'!B60</f>
        <v>Administrowanie bazami danych</v>
      </c>
      <c r="C53" s="292">
        <f t="shared" si="12"/>
        <v>5</v>
      </c>
      <c r="D53" s="276"/>
      <c r="E53" s="277"/>
      <c r="F53" s="277"/>
      <c r="G53" s="277"/>
      <c r="H53" s="277"/>
      <c r="I53" s="277"/>
      <c r="J53" s="277"/>
      <c r="K53" s="277"/>
      <c r="L53" s="277"/>
      <c r="M53" s="277"/>
      <c r="N53" s="277" t="s">
        <v>345</v>
      </c>
      <c r="O53" s="277" t="s">
        <v>345</v>
      </c>
      <c r="P53" s="277"/>
      <c r="Q53" s="277" t="s">
        <v>345</v>
      </c>
      <c r="R53" s="277" t="s">
        <v>345</v>
      </c>
      <c r="S53" s="278" t="s">
        <v>345</v>
      </c>
      <c r="T53" s="296">
        <f t="shared" si="13"/>
        <v>3</v>
      </c>
      <c r="U53" s="276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 t="s">
        <v>345</v>
      </c>
      <c r="AM53" s="277" t="s">
        <v>345</v>
      </c>
      <c r="AN53" s="277"/>
      <c r="AO53" s="277"/>
      <c r="AP53" s="277"/>
      <c r="AQ53" s="278"/>
      <c r="AR53" s="278" t="s">
        <v>345</v>
      </c>
      <c r="AS53" s="296">
        <f t="shared" si="14"/>
        <v>1</v>
      </c>
      <c r="AT53" s="276"/>
      <c r="AU53" s="277"/>
      <c r="AV53" s="277"/>
      <c r="AW53" s="277"/>
      <c r="AX53" s="277"/>
      <c r="AY53" s="279" t="s">
        <v>345</v>
      </c>
    </row>
    <row r="54" spans="1:51" x14ac:dyDescent="0.25">
      <c r="A54" s="5">
        <f>'[1]Studia stacjonarne'!A61</f>
        <v>3</v>
      </c>
      <c r="B54" s="4" t="str">
        <f>'[1]Studia stacjonarne'!B61</f>
        <v>Aplikacje w środowisku kontenerowym</v>
      </c>
      <c r="C54" s="292">
        <f t="shared" si="12"/>
        <v>2</v>
      </c>
      <c r="D54" s="276"/>
      <c r="E54" s="277"/>
      <c r="F54" s="277"/>
      <c r="G54" s="277"/>
      <c r="H54" s="277"/>
      <c r="I54" s="277"/>
      <c r="J54" s="277"/>
      <c r="K54" s="277"/>
      <c r="L54" s="277"/>
      <c r="M54" s="277" t="s">
        <v>345</v>
      </c>
      <c r="N54" s="277"/>
      <c r="O54" s="277"/>
      <c r="P54" s="277"/>
      <c r="Q54" s="277" t="s">
        <v>345</v>
      </c>
      <c r="R54" s="277"/>
      <c r="S54" s="278"/>
      <c r="T54" s="296">
        <f t="shared" si="13"/>
        <v>4</v>
      </c>
      <c r="U54" s="276"/>
      <c r="V54" s="277"/>
      <c r="W54" s="277"/>
      <c r="X54" s="277"/>
      <c r="Y54" s="277"/>
      <c r="Z54" s="277"/>
      <c r="AA54" s="277"/>
      <c r="AB54" s="277"/>
      <c r="AC54" s="277"/>
      <c r="AD54" s="277" t="s">
        <v>345</v>
      </c>
      <c r="AE54" s="277"/>
      <c r="AF54" s="277" t="s">
        <v>345</v>
      </c>
      <c r="AG54" s="277"/>
      <c r="AH54" s="277"/>
      <c r="AI54" s="277" t="s">
        <v>345</v>
      </c>
      <c r="AJ54" s="277"/>
      <c r="AK54" s="277"/>
      <c r="AL54" s="277"/>
      <c r="AM54" s="277"/>
      <c r="AN54" s="277"/>
      <c r="AO54" s="277" t="s">
        <v>345</v>
      </c>
      <c r="AP54" s="277"/>
      <c r="AQ54" s="278"/>
      <c r="AR54" s="278"/>
      <c r="AS54" s="296">
        <f t="shared" si="14"/>
        <v>1</v>
      </c>
      <c r="AT54" s="276"/>
      <c r="AU54" s="277"/>
      <c r="AV54" s="277"/>
      <c r="AW54" s="277"/>
      <c r="AX54" s="277"/>
      <c r="AY54" s="279" t="s">
        <v>345</v>
      </c>
    </row>
    <row r="55" spans="1:51" x14ac:dyDescent="0.25">
      <c r="A55" s="5">
        <f>'[1]Studia stacjonarne'!A62</f>
        <v>4</v>
      </c>
      <c r="B55" s="4" t="str">
        <f>'[1]Studia stacjonarne'!B62</f>
        <v>Aplikacje mobilne</v>
      </c>
      <c r="C55" s="292">
        <f t="shared" si="12"/>
        <v>2</v>
      </c>
      <c r="D55" s="276"/>
      <c r="E55" s="277"/>
      <c r="F55" s="277"/>
      <c r="G55" s="277"/>
      <c r="H55" s="277"/>
      <c r="I55" s="277"/>
      <c r="J55" s="277"/>
      <c r="K55" s="277"/>
      <c r="L55" s="277"/>
      <c r="M55" s="277" t="s">
        <v>345</v>
      </c>
      <c r="N55" s="277"/>
      <c r="O55" s="277"/>
      <c r="P55" s="277"/>
      <c r="Q55" s="277" t="s">
        <v>345</v>
      </c>
      <c r="R55" s="277"/>
      <c r="S55" s="278"/>
      <c r="T55" s="296">
        <f t="shared" si="13"/>
        <v>4</v>
      </c>
      <c r="U55" s="276"/>
      <c r="V55" s="277"/>
      <c r="W55" s="277"/>
      <c r="X55" s="277"/>
      <c r="Y55" s="277"/>
      <c r="Z55" s="277"/>
      <c r="AA55" s="277"/>
      <c r="AB55" s="277" t="s">
        <v>345</v>
      </c>
      <c r="AC55" s="277"/>
      <c r="AD55" s="277"/>
      <c r="AE55" s="277" t="s">
        <v>345</v>
      </c>
      <c r="AF55" s="277" t="s">
        <v>345</v>
      </c>
      <c r="AG55" s="277"/>
      <c r="AH55" s="277"/>
      <c r="AI55" s="277"/>
      <c r="AJ55" s="277"/>
      <c r="AK55" s="277"/>
      <c r="AL55" s="277"/>
      <c r="AM55" s="277"/>
      <c r="AN55" s="277"/>
      <c r="AO55" s="277" t="s">
        <v>345</v>
      </c>
      <c r="AP55" s="277"/>
      <c r="AQ55" s="278"/>
      <c r="AR55" s="278"/>
      <c r="AS55" s="296">
        <f t="shared" si="14"/>
        <v>1</v>
      </c>
      <c r="AT55" s="276"/>
      <c r="AU55" s="277"/>
      <c r="AV55" s="277"/>
      <c r="AW55" s="277"/>
      <c r="AX55" s="277"/>
      <c r="AY55" s="279" t="s">
        <v>345</v>
      </c>
    </row>
    <row r="56" spans="1:51" x14ac:dyDescent="0.25">
      <c r="A56" s="5">
        <f>'[1]Studia stacjonarne'!A63</f>
        <v>5</v>
      </c>
      <c r="B56" s="4" t="str">
        <f>'[1]Studia stacjonarne'!B63</f>
        <v>Programowanie gier</v>
      </c>
      <c r="C56" s="292">
        <f t="shared" si="12"/>
        <v>2</v>
      </c>
      <c r="D56" s="276"/>
      <c r="E56" s="277"/>
      <c r="F56" s="277"/>
      <c r="G56" s="277"/>
      <c r="H56" s="277"/>
      <c r="I56" s="277"/>
      <c r="J56" s="277"/>
      <c r="K56" s="277"/>
      <c r="L56" s="277"/>
      <c r="M56" s="277" t="s">
        <v>345</v>
      </c>
      <c r="N56" s="277"/>
      <c r="O56" s="277"/>
      <c r="P56" s="277"/>
      <c r="Q56" s="277" t="s">
        <v>345</v>
      </c>
      <c r="R56" s="277"/>
      <c r="S56" s="278"/>
      <c r="T56" s="296">
        <f t="shared" si="13"/>
        <v>4</v>
      </c>
      <c r="U56" s="276"/>
      <c r="V56" s="277"/>
      <c r="W56" s="277"/>
      <c r="X56" s="277"/>
      <c r="Y56" s="277"/>
      <c r="Z56" s="277"/>
      <c r="AA56" s="277"/>
      <c r="AB56" s="277" t="s">
        <v>345</v>
      </c>
      <c r="AC56" s="277"/>
      <c r="AD56" s="277" t="s">
        <v>345</v>
      </c>
      <c r="AE56" s="277"/>
      <c r="AF56" s="277" t="s">
        <v>345</v>
      </c>
      <c r="AG56" s="277"/>
      <c r="AH56" s="277"/>
      <c r="AI56" s="277"/>
      <c r="AJ56" s="277"/>
      <c r="AK56" s="277"/>
      <c r="AL56" s="277"/>
      <c r="AM56" s="277"/>
      <c r="AN56" s="277"/>
      <c r="AO56" s="277" t="s">
        <v>345</v>
      </c>
      <c r="AP56" s="277"/>
      <c r="AQ56" s="278"/>
      <c r="AR56" s="278"/>
      <c r="AS56" s="296">
        <f t="shared" si="14"/>
        <v>2</v>
      </c>
      <c r="AT56" s="276"/>
      <c r="AU56" s="277"/>
      <c r="AV56" s="277"/>
      <c r="AW56" s="277" t="s">
        <v>345</v>
      </c>
      <c r="AX56" s="277"/>
      <c r="AY56" s="279" t="s">
        <v>345</v>
      </c>
    </row>
    <row r="57" spans="1:51" x14ac:dyDescent="0.25">
      <c r="A57" s="5">
        <f>'[1]Studia stacjonarne'!A64</f>
        <v>6</v>
      </c>
      <c r="B57" s="4" t="str">
        <f>'[1]Studia stacjonarne'!B64</f>
        <v>Bezpieczeństwo aplikacji internetowych</v>
      </c>
      <c r="C57" s="292">
        <f t="shared" si="12"/>
        <v>2</v>
      </c>
      <c r="D57" s="276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 t="s">
        <v>345</v>
      </c>
      <c r="Q57" s="277" t="s">
        <v>345</v>
      </c>
      <c r="R57" s="277"/>
      <c r="S57" s="278"/>
      <c r="T57" s="296">
        <f t="shared" si="13"/>
        <v>1</v>
      </c>
      <c r="U57" s="276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 t="s">
        <v>345</v>
      </c>
      <c r="AM57" s="277"/>
      <c r="AN57" s="277"/>
      <c r="AO57" s="277"/>
      <c r="AP57" s="277"/>
      <c r="AQ57" s="278"/>
      <c r="AR57" s="278"/>
      <c r="AS57" s="296">
        <f t="shared" si="14"/>
        <v>2</v>
      </c>
      <c r="AT57" s="276"/>
      <c r="AU57" s="277"/>
      <c r="AV57" s="277" t="s">
        <v>345</v>
      </c>
      <c r="AW57" s="277"/>
      <c r="AX57" s="277"/>
      <c r="AY57" s="279" t="s">
        <v>345</v>
      </c>
    </row>
    <row r="58" spans="1:51" x14ac:dyDescent="0.25">
      <c r="A58" s="5">
        <f>'[1]Studia stacjonarne'!A65</f>
        <v>7</v>
      </c>
      <c r="B58" s="4" t="str">
        <f>'[1]Studia stacjonarne'!B65</f>
        <v>Integracja systemów informatycznych</v>
      </c>
      <c r="C58" s="292">
        <f t="shared" si="12"/>
        <v>2</v>
      </c>
      <c r="D58" s="276"/>
      <c r="E58" s="277"/>
      <c r="F58" s="277"/>
      <c r="G58" s="277"/>
      <c r="H58" s="277"/>
      <c r="I58" s="277"/>
      <c r="J58" s="277"/>
      <c r="K58" s="277"/>
      <c r="L58" s="277"/>
      <c r="M58" s="277" t="s">
        <v>345</v>
      </c>
      <c r="N58" s="277"/>
      <c r="O58" s="277"/>
      <c r="P58" s="277"/>
      <c r="Q58" s="277" t="s">
        <v>345</v>
      </c>
      <c r="R58" s="277"/>
      <c r="S58" s="278"/>
      <c r="T58" s="296">
        <f t="shared" si="13"/>
        <v>2</v>
      </c>
      <c r="U58" s="276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 t="s">
        <v>345</v>
      </c>
      <c r="AL58" s="277"/>
      <c r="AM58" s="277"/>
      <c r="AN58" s="277"/>
      <c r="AO58" s="277"/>
      <c r="AP58" s="277"/>
      <c r="AQ58" s="278"/>
      <c r="AR58" s="278" t="s">
        <v>345</v>
      </c>
      <c r="AS58" s="296">
        <f t="shared" si="14"/>
        <v>1</v>
      </c>
      <c r="AT58" s="276"/>
      <c r="AU58" s="277"/>
      <c r="AV58" s="277"/>
      <c r="AW58" s="277"/>
      <c r="AX58" s="277"/>
      <c r="AY58" s="279" t="s">
        <v>345</v>
      </c>
    </row>
    <row r="59" spans="1:51" ht="15.75" thickBot="1" x14ac:dyDescent="0.3">
      <c r="A59" s="21">
        <f>'[1]Studia stacjonarne'!A66</f>
        <v>8</v>
      </c>
      <c r="B59" s="23" t="str">
        <f>'[1]Studia stacjonarne'!B66</f>
        <v>Budowa i wdrażanie aplikacji w chmurze</v>
      </c>
      <c r="C59" s="292">
        <f t="shared" si="12"/>
        <v>2</v>
      </c>
      <c r="D59" s="280"/>
      <c r="E59" s="281"/>
      <c r="F59" s="281"/>
      <c r="G59" s="281"/>
      <c r="H59" s="281"/>
      <c r="I59" s="281"/>
      <c r="J59" s="281"/>
      <c r="K59" s="281"/>
      <c r="L59" s="281"/>
      <c r="M59" s="281" t="s">
        <v>345</v>
      </c>
      <c r="N59" s="281"/>
      <c r="O59" s="281"/>
      <c r="P59" s="281"/>
      <c r="Q59" s="281" t="s">
        <v>345</v>
      </c>
      <c r="R59" s="281"/>
      <c r="S59" s="282"/>
      <c r="T59" s="296">
        <f t="shared" si="13"/>
        <v>1</v>
      </c>
      <c r="U59" s="280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 t="s">
        <v>345</v>
      </c>
      <c r="AL59" s="281"/>
      <c r="AM59" s="281"/>
      <c r="AN59" s="281"/>
      <c r="AO59" s="281"/>
      <c r="AP59" s="281"/>
      <c r="AQ59" s="282"/>
      <c r="AR59" s="282"/>
      <c r="AS59" s="296">
        <f t="shared" si="14"/>
        <v>2</v>
      </c>
      <c r="AT59" s="280"/>
      <c r="AU59" s="281"/>
      <c r="AV59" s="281"/>
      <c r="AW59" s="281" t="s">
        <v>345</v>
      </c>
      <c r="AX59" s="281"/>
      <c r="AY59" s="283" t="s">
        <v>345</v>
      </c>
    </row>
    <row r="60" spans="1:51" ht="15.75" hidden="1" thickBot="1" x14ac:dyDescent="0.3">
      <c r="A60" s="204" t="str">
        <f>'[1]Studia stacjonarne'!A67</f>
        <v>IVc.</v>
      </c>
      <c r="B60" s="131" t="str">
        <f>'[1]Studia stacjonarne'!B67</f>
        <v>Moduł specjalnościowy: ?</v>
      </c>
      <c r="C60" s="293"/>
      <c r="D60" s="284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6"/>
      <c r="T60" s="297"/>
      <c r="U60" s="284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6"/>
      <c r="AR60" s="286"/>
      <c r="AS60" s="297"/>
      <c r="AT60" s="284"/>
      <c r="AU60" s="285"/>
      <c r="AV60" s="285"/>
      <c r="AW60" s="285"/>
      <c r="AX60" s="285"/>
      <c r="AY60" s="287"/>
    </row>
    <row r="61" spans="1:51" ht="15.75" hidden="1" thickBot="1" x14ac:dyDescent="0.3">
      <c r="A61" s="200">
        <f>'[1]Studia stacjonarne'!A68</f>
        <v>1</v>
      </c>
      <c r="B61" s="199" t="str">
        <f>'[1]Studia stacjonarne'!B68</f>
        <v>Podstawy robotyki</v>
      </c>
      <c r="C61" s="292"/>
      <c r="D61" s="272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4"/>
      <c r="T61" s="296"/>
      <c r="U61" s="272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4"/>
      <c r="AR61" s="274"/>
      <c r="AS61" s="296"/>
      <c r="AT61" s="272"/>
      <c r="AU61" s="273"/>
      <c r="AV61" s="273"/>
      <c r="AW61" s="273"/>
      <c r="AX61" s="273"/>
      <c r="AY61" s="275"/>
    </row>
    <row r="62" spans="1:51" ht="15.75" hidden="1" thickBot="1" x14ac:dyDescent="0.3">
      <c r="A62" s="5">
        <f>'[1]Studia stacjonarne'!A69</f>
        <v>2</v>
      </c>
      <c r="B62" s="4" t="str">
        <f>'[1]Studia stacjonarne'!B69</f>
        <v>Języki programowania w robotyce</v>
      </c>
      <c r="C62" s="294"/>
      <c r="D62" s="276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8"/>
      <c r="T62" s="298"/>
      <c r="U62" s="276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277"/>
      <c r="AH62" s="277"/>
      <c r="AI62" s="277"/>
      <c r="AJ62" s="277"/>
      <c r="AK62" s="277"/>
      <c r="AL62" s="277"/>
      <c r="AM62" s="277"/>
      <c r="AN62" s="277"/>
      <c r="AO62" s="277"/>
      <c r="AP62" s="277"/>
      <c r="AQ62" s="278"/>
      <c r="AR62" s="278"/>
      <c r="AS62" s="298"/>
      <c r="AT62" s="276"/>
      <c r="AU62" s="277"/>
      <c r="AV62" s="277"/>
      <c r="AW62" s="277"/>
      <c r="AX62" s="277"/>
      <c r="AY62" s="279"/>
    </row>
    <row r="63" spans="1:51" ht="15.75" hidden="1" thickBot="1" x14ac:dyDescent="0.3">
      <c r="A63" s="5">
        <f>'[1]Studia stacjonarne'!A70</f>
        <v>3</v>
      </c>
      <c r="B63" s="4" t="str">
        <f>'[1]Studia stacjonarne'!B70</f>
        <v>Zaawansowane techniki sztucznej inteligencji</v>
      </c>
      <c r="C63" s="294"/>
      <c r="D63" s="276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8"/>
      <c r="T63" s="298"/>
      <c r="U63" s="276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8"/>
      <c r="AR63" s="278"/>
      <c r="AS63" s="298"/>
      <c r="AT63" s="276"/>
      <c r="AU63" s="277"/>
      <c r="AV63" s="277"/>
      <c r="AW63" s="277"/>
      <c r="AX63" s="277"/>
      <c r="AY63" s="279"/>
    </row>
    <row r="64" spans="1:51" ht="15.75" hidden="1" thickBot="1" x14ac:dyDescent="0.3">
      <c r="A64" s="5">
        <f>'[1]Studia stacjonarne'!A71</f>
        <v>4</v>
      </c>
      <c r="B64" s="4" t="str">
        <f>'[1]Studia stacjonarne'!B71</f>
        <v>Czujniki pomiarowe i sensory</v>
      </c>
      <c r="C64" s="294"/>
      <c r="D64" s="276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8"/>
      <c r="T64" s="298"/>
      <c r="U64" s="276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  <c r="AG64" s="277"/>
      <c r="AH64" s="277"/>
      <c r="AI64" s="277"/>
      <c r="AJ64" s="277"/>
      <c r="AK64" s="277"/>
      <c r="AL64" s="277"/>
      <c r="AM64" s="277"/>
      <c r="AN64" s="277"/>
      <c r="AO64" s="277"/>
      <c r="AP64" s="277"/>
      <c r="AQ64" s="278"/>
      <c r="AR64" s="278"/>
      <c r="AS64" s="298"/>
      <c r="AT64" s="276"/>
      <c r="AU64" s="277"/>
      <c r="AV64" s="277"/>
      <c r="AW64" s="277"/>
      <c r="AX64" s="277"/>
      <c r="AY64" s="279"/>
    </row>
    <row r="65" spans="1:51" ht="15.75" hidden="1" thickBot="1" x14ac:dyDescent="0.3">
      <c r="A65" s="5">
        <f>'[1]Studia stacjonarne'!A72</f>
        <v>5</v>
      </c>
      <c r="B65" s="4" t="str">
        <f>'[1]Studia stacjonarne'!B72</f>
        <v>Programowanie inżynierskie LabView</v>
      </c>
      <c r="C65" s="294"/>
      <c r="D65" s="276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8"/>
      <c r="T65" s="298"/>
      <c r="U65" s="276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8"/>
      <c r="AR65" s="278"/>
      <c r="AS65" s="298"/>
      <c r="AT65" s="276"/>
      <c r="AU65" s="277"/>
      <c r="AV65" s="277"/>
      <c r="AW65" s="277"/>
      <c r="AX65" s="277"/>
      <c r="AY65" s="279"/>
    </row>
    <row r="66" spans="1:51" ht="15.75" hidden="1" thickBot="1" x14ac:dyDescent="0.3">
      <c r="A66" s="5">
        <f>'[1]Studia stacjonarne'!A73</f>
        <v>6</v>
      </c>
      <c r="B66" s="4" t="str">
        <f>'[1]Studia stacjonarne'!B73</f>
        <v>Autonomiczne systemy nawigacyjne</v>
      </c>
      <c r="C66" s="294"/>
      <c r="D66" s="276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8"/>
      <c r="T66" s="298"/>
      <c r="U66" s="276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8"/>
      <c r="AR66" s="278"/>
      <c r="AS66" s="298"/>
      <c r="AT66" s="276"/>
      <c r="AU66" s="277"/>
      <c r="AV66" s="277"/>
      <c r="AW66" s="277"/>
      <c r="AX66" s="277"/>
      <c r="AY66" s="279"/>
    </row>
    <row r="67" spans="1:51" ht="15.75" hidden="1" thickBot="1" x14ac:dyDescent="0.3">
      <c r="A67" s="5">
        <f>'[1]Studia stacjonarne'!A74</f>
        <v>7</v>
      </c>
      <c r="B67" s="4" t="str">
        <f>'[1]Studia stacjonarne'!B74</f>
        <v>Podstawy systemów telekomunikacyjnych</v>
      </c>
      <c r="C67" s="294"/>
      <c r="D67" s="276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8"/>
      <c r="T67" s="298"/>
      <c r="U67" s="276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8"/>
      <c r="AR67" s="278"/>
      <c r="AS67" s="298"/>
      <c r="AT67" s="276"/>
      <c r="AU67" s="277"/>
      <c r="AV67" s="277"/>
      <c r="AW67" s="277"/>
      <c r="AX67" s="277"/>
      <c r="AY67" s="279"/>
    </row>
    <row r="68" spans="1:51" ht="15.75" hidden="1" thickBot="1" x14ac:dyDescent="0.3">
      <c r="A68" s="21">
        <f>'[1]Studia stacjonarne'!A75</f>
        <v>8</v>
      </c>
      <c r="B68" s="23" t="str">
        <f>'[1]Studia stacjonarne'!B75</f>
        <v>?</v>
      </c>
      <c r="C68" s="295"/>
      <c r="D68" s="280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2"/>
      <c r="T68" s="299"/>
      <c r="U68" s="280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2"/>
      <c r="AR68" s="282"/>
      <c r="AS68" s="299"/>
      <c r="AT68" s="280"/>
      <c r="AU68" s="281"/>
      <c r="AV68" s="281"/>
      <c r="AW68" s="281"/>
      <c r="AX68" s="281"/>
      <c r="AY68" s="283"/>
    </row>
    <row r="69" spans="1:51" ht="15.75" thickBot="1" x14ac:dyDescent="0.3">
      <c r="A69" s="204" t="str">
        <f>'[1]Studia stacjonarne'!A76</f>
        <v>V.</v>
      </c>
      <c r="B69" s="131" t="str">
        <f>'[1]Studia stacjonarne'!B76</f>
        <v>Praktyki</v>
      </c>
      <c r="C69" s="293"/>
      <c r="D69" s="284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6"/>
      <c r="T69" s="297"/>
      <c r="U69" s="284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 t="s">
        <v>345</v>
      </c>
      <c r="AP69" s="285" t="s">
        <v>345</v>
      </c>
      <c r="AQ69" s="286" t="s">
        <v>345</v>
      </c>
      <c r="AR69" s="286" t="s">
        <v>345</v>
      </c>
      <c r="AS69" s="297"/>
      <c r="AT69" s="284" t="s">
        <v>345</v>
      </c>
      <c r="AU69" s="285"/>
      <c r="AV69" s="285" t="s">
        <v>345</v>
      </c>
      <c r="AW69" s="285" t="s">
        <v>345</v>
      </c>
      <c r="AX69" s="285" t="s">
        <v>345</v>
      </c>
      <c r="AY69" s="287" t="s">
        <v>345</v>
      </c>
    </row>
    <row r="70" spans="1:51" ht="15.75" thickBot="1" x14ac:dyDescent="0.3">
      <c r="A70" s="204" t="str">
        <f>'[1]Studia stacjonarne'!A77</f>
        <v>VI.</v>
      </c>
      <c r="B70" s="131" t="str">
        <f>'[1]Studia stacjonarne'!B77</f>
        <v>Moduł dyplomowy</v>
      </c>
      <c r="C70" s="293"/>
      <c r="D70" s="284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6"/>
      <c r="T70" s="297"/>
      <c r="U70" s="284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6"/>
      <c r="AR70" s="286"/>
      <c r="AS70" s="297"/>
      <c r="AT70" s="284"/>
      <c r="AU70" s="285"/>
      <c r="AV70" s="285"/>
      <c r="AW70" s="285"/>
      <c r="AX70" s="285"/>
      <c r="AY70" s="287"/>
    </row>
    <row r="71" spans="1:51" x14ac:dyDescent="0.25">
      <c r="A71" s="200">
        <f>'[1]Studia stacjonarne'!A78</f>
        <v>1</v>
      </c>
      <c r="B71" s="199" t="str">
        <f>'[1]Studia stacjonarne'!B78</f>
        <v>Seminarium dyplomowe</v>
      </c>
      <c r="C71" s="292">
        <f t="shared" ref="C71:C72" si="15">COUNTA(D71:S71)</f>
        <v>2</v>
      </c>
      <c r="D71" s="272" t="s">
        <v>345</v>
      </c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 t="s">
        <v>345</v>
      </c>
      <c r="R71" s="273"/>
      <c r="S71" s="274"/>
      <c r="T71" s="296">
        <f t="shared" ref="T71:T72" si="16">COUNTA(U71:AR71)</f>
        <v>2</v>
      </c>
      <c r="U71" s="272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4" t="s">
        <v>345</v>
      </c>
      <c r="AR71" s="274" t="s">
        <v>345</v>
      </c>
      <c r="AS71" s="296">
        <f t="shared" ref="AS71:AS72" si="17">COUNTA(AT71:AY71)</f>
        <v>2</v>
      </c>
      <c r="AT71" s="272"/>
      <c r="AU71" s="273" t="s">
        <v>345</v>
      </c>
      <c r="AV71" s="273" t="s">
        <v>345</v>
      </c>
      <c r="AW71" s="273"/>
      <c r="AX71" s="273"/>
      <c r="AY71" s="275"/>
    </row>
    <row r="72" spans="1:51" ht="15.75" thickBot="1" x14ac:dyDescent="0.3">
      <c r="A72" s="6">
        <f>'[1]Studia stacjonarne'!A79</f>
        <v>2</v>
      </c>
      <c r="B72" s="9" t="str">
        <f>'[1]Studia stacjonarne'!B79</f>
        <v>Praca dyplomowa</v>
      </c>
      <c r="C72" s="292">
        <f t="shared" si="15"/>
        <v>0</v>
      </c>
      <c r="D72" s="288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90"/>
      <c r="T72" s="296">
        <f t="shared" si="16"/>
        <v>3</v>
      </c>
      <c r="U72" s="288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  <c r="AP72" s="289" t="s">
        <v>345</v>
      </c>
      <c r="AQ72" s="290" t="s">
        <v>345</v>
      </c>
      <c r="AR72" s="290" t="s">
        <v>345</v>
      </c>
      <c r="AS72" s="296">
        <f t="shared" si="17"/>
        <v>1</v>
      </c>
      <c r="AT72" s="288"/>
      <c r="AU72" s="289" t="s">
        <v>345</v>
      </c>
      <c r="AV72" s="289"/>
      <c r="AW72" s="289"/>
      <c r="AX72" s="289"/>
      <c r="AY72" s="291"/>
    </row>
  </sheetData>
  <mergeCells count="50">
    <mergeCell ref="AP1:AP2"/>
    <mergeCell ref="AR1:AR2"/>
    <mergeCell ref="AX1:AX2"/>
    <mergeCell ref="AY1:AY2"/>
    <mergeCell ref="AS1:AS2"/>
    <mergeCell ref="AT1:AT2"/>
    <mergeCell ref="AU1:AU2"/>
    <mergeCell ref="AV1:AV2"/>
    <mergeCell ref="AW1:AW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C1:C2"/>
    <mergeCell ref="D1:D2"/>
    <mergeCell ref="M1:M2"/>
    <mergeCell ref="N1:N2"/>
    <mergeCell ref="O1:O2"/>
    <mergeCell ref="P1:P2"/>
    <mergeCell ref="A1:A2"/>
    <mergeCell ref="AQ1:AQ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Studia stacjonarne</vt:lpstr>
      <vt:lpstr>Efekty uczenia się</vt:lpstr>
      <vt:lpstr>Macierz efektów uczenia się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2021-05-18T10:48:31Z</dcterms:modified>
  <cp:category/>
  <cp:contentStatus/>
</cp:coreProperties>
</file>